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K:\zeimu\国民健康保険税\05_税額試算シート\令和7年度\"/>
    </mc:Choice>
  </mc:AlternateContent>
  <xr:revisionPtr revIDLastSave="0" documentId="13_ncr:1_{0AE008D8-7F4E-4B50-AFA8-11DF24D1BE45}" xr6:coauthVersionLast="47" xr6:coauthVersionMax="47" xr10:uidLastSave="{00000000-0000-0000-0000-000000000000}"/>
  <bookViews>
    <workbookView xWindow="4830" yWindow="195" windowWidth="18945" windowHeight="15375" tabRatio="598" xr2:uid="{00000000-000D-0000-FFFF-FFFF00000000}"/>
  </bookViews>
  <sheets>
    <sheet name="入力試算シート" sheetId="24" r:id="rId1"/>
    <sheet name="税率登録シート" sheetId="25" state="hidden" r:id="rId2"/>
    <sheet name="税額計算" sheetId="22" state="hidden" r:id="rId3"/>
    <sheet name="速算表" sheetId="18" state="hidden" r:id="rId4"/>
  </sheets>
  <definedNames>
    <definedName name="_xlnm.Print_Area" localSheetId="3">速算表!$A$1:$V$25</definedName>
    <definedName name="_xlnm.Print_Area" localSheetId="0">入力試算シート!$A$52:$AN$107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2" l="1"/>
  <c r="J5" i="22" s="1"/>
  <c r="F58" i="24" l="1"/>
  <c r="F59" i="24" l="1"/>
  <c r="I59" i="24"/>
  <c r="N59" i="24"/>
  <c r="I58" i="24" l="1"/>
  <c r="F65" i="24"/>
  <c r="A30" i="18" l="1"/>
  <c r="B30" i="18"/>
  <c r="A4" i="18"/>
  <c r="BD4" i="24"/>
  <c r="D2" i="25" s="1"/>
  <c r="D13" i="25" l="1"/>
  <c r="D12" i="25"/>
  <c r="D11" i="25"/>
  <c r="D14" i="25"/>
  <c r="D6" i="25" l="1"/>
  <c r="N58" i="24"/>
  <c r="B4" i="18"/>
  <c r="E4" i="18"/>
  <c r="E5" i="18" s="1"/>
  <c r="E9" i="18" s="1"/>
  <c r="E30" i="18"/>
  <c r="A56" i="18"/>
  <c r="B56" i="18"/>
  <c r="E56" i="18"/>
  <c r="E57" i="18" s="1"/>
  <c r="E11" i="18" s="1"/>
  <c r="A82" i="18"/>
  <c r="B82" i="18"/>
  <c r="D82" i="18" s="1"/>
  <c r="E82" i="18"/>
  <c r="A108" i="18"/>
  <c r="B108" i="18"/>
  <c r="E108" i="18"/>
  <c r="A134" i="18"/>
  <c r="B134" i="18"/>
  <c r="E134" i="18"/>
  <c r="E135" i="18" s="1"/>
  <c r="E14" i="18" s="1"/>
  <c r="A160" i="18"/>
  <c r="B160" i="18"/>
  <c r="D160" i="18" s="1"/>
  <c r="E160" i="18"/>
  <c r="E161" i="18" s="1"/>
  <c r="E15" i="18" s="1"/>
  <c r="A186" i="18"/>
  <c r="B186" i="18"/>
  <c r="E186" i="18"/>
  <c r="E187" i="18" s="1"/>
  <c r="E16" i="18" s="1"/>
  <c r="A212" i="18"/>
  <c r="B212" i="18"/>
  <c r="E212" i="18"/>
  <c r="A238" i="18"/>
  <c r="B238" i="18"/>
  <c r="D238" i="18" s="1"/>
  <c r="E238" i="18"/>
  <c r="E239" i="18" s="1"/>
  <c r="E18" i="18" s="1"/>
  <c r="A264" i="18"/>
  <c r="B264" i="18"/>
  <c r="D264" i="18" s="1"/>
  <c r="E264" i="18"/>
  <c r="E265" i="18" s="1"/>
  <c r="E19" i="18" s="1"/>
  <c r="B11" i="22"/>
  <c r="B12" i="22"/>
  <c r="B13" i="22"/>
  <c r="B14" i="22"/>
  <c r="B15" i="22"/>
  <c r="B16" i="22"/>
  <c r="B17" i="22"/>
  <c r="B29" i="22"/>
  <c r="B30" i="22"/>
  <c r="B31" i="22"/>
  <c r="B32" i="22"/>
  <c r="B33" i="22"/>
  <c r="B34" i="22"/>
  <c r="B35" i="22"/>
  <c r="B47" i="22"/>
  <c r="B48" i="22"/>
  <c r="B49" i="22"/>
  <c r="B50" i="22"/>
  <c r="G50" i="22" s="1"/>
  <c r="B51" i="22"/>
  <c r="G51" i="22" s="1"/>
  <c r="B52" i="22"/>
  <c r="G52" i="22" s="1"/>
  <c r="B53" i="22"/>
  <c r="G53" i="22" s="1"/>
  <c r="AP22" i="24"/>
  <c r="AQ22" i="24"/>
  <c r="AR22" i="24"/>
  <c r="AS22" i="24"/>
  <c r="AP23" i="24"/>
  <c r="AQ23" i="24"/>
  <c r="AR23" i="24"/>
  <c r="AS23" i="24"/>
  <c r="AP24" i="24"/>
  <c r="AQ24" i="24"/>
  <c r="AR24" i="24"/>
  <c r="AS24" i="24"/>
  <c r="AP25" i="24"/>
  <c r="AQ25" i="24"/>
  <c r="AR25" i="24"/>
  <c r="AS25" i="24"/>
  <c r="AP26" i="24"/>
  <c r="AQ26" i="24"/>
  <c r="AR26" i="24"/>
  <c r="AS26" i="24"/>
  <c r="AP27" i="24"/>
  <c r="AQ27" i="24"/>
  <c r="AR27" i="24"/>
  <c r="AS27" i="24"/>
  <c r="AP28" i="24"/>
  <c r="AQ28" i="24"/>
  <c r="AR28" i="24"/>
  <c r="AS28" i="24"/>
  <c r="AP41" i="24"/>
  <c r="AQ41" i="24"/>
  <c r="AR41" i="24"/>
  <c r="E51" i="24"/>
  <c r="S58" i="24"/>
  <c r="U58" i="24"/>
  <c r="S59" i="24"/>
  <c r="U59" i="24"/>
  <c r="F60" i="24"/>
  <c r="I60" i="24"/>
  <c r="N60" i="24"/>
  <c r="S60" i="24"/>
  <c r="U60" i="24"/>
  <c r="F61" i="24"/>
  <c r="I61" i="24"/>
  <c r="N61" i="24"/>
  <c r="S61" i="24"/>
  <c r="U61" i="24"/>
  <c r="F62" i="24"/>
  <c r="I62" i="24"/>
  <c r="N62" i="24"/>
  <c r="S62" i="24"/>
  <c r="U62" i="24"/>
  <c r="F63" i="24"/>
  <c r="I63" i="24"/>
  <c r="N63" i="24"/>
  <c r="S63" i="24"/>
  <c r="U63" i="24"/>
  <c r="F64" i="24"/>
  <c r="I64" i="24"/>
  <c r="N64" i="24"/>
  <c r="S64" i="24"/>
  <c r="U64" i="24"/>
  <c r="B65" i="24"/>
  <c r="I65" i="24"/>
  <c r="N65" i="24"/>
  <c r="S65" i="24"/>
  <c r="U65" i="24"/>
  <c r="F66" i="24"/>
  <c r="I66" i="24"/>
  <c r="N66" i="24"/>
  <c r="S66" i="24"/>
  <c r="U66" i="24"/>
  <c r="F67" i="24"/>
  <c r="I67" i="24"/>
  <c r="N67" i="24"/>
  <c r="S67" i="24"/>
  <c r="U67" i="24"/>
  <c r="F68" i="24"/>
  <c r="I68" i="24"/>
  <c r="N68" i="24"/>
  <c r="S68" i="24"/>
  <c r="U68" i="24"/>
  <c r="D161" i="18" l="1"/>
  <c r="D15" i="18" s="1"/>
  <c r="D83" i="18"/>
  <c r="D12" i="18" s="1"/>
  <c r="E83" i="18"/>
  <c r="E12" i="18" s="1"/>
  <c r="D239" i="18"/>
  <c r="D18" i="18" s="1"/>
  <c r="C264" i="18"/>
  <c r="E213" i="18"/>
  <c r="E17" i="18" s="1"/>
  <c r="E109" i="18"/>
  <c r="E13" i="18" s="1"/>
  <c r="D265" i="18"/>
  <c r="D19" i="18" s="1"/>
  <c r="C238" i="18"/>
  <c r="E31" i="18"/>
  <c r="E10" i="18" s="1"/>
  <c r="B26" i="22"/>
  <c r="B8" i="22"/>
  <c r="Q247" i="18"/>
  <c r="Q245" i="18"/>
  <c r="Q243" i="18"/>
  <c r="Q241" i="18"/>
  <c r="N247" i="18"/>
  <c r="N245" i="18"/>
  <c r="N243" i="18"/>
  <c r="N241" i="18"/>
  <c r="Q248" i="18"/>
  <c r="Q246" i="18"/>
  <c r="Q244" i="18"/>
  <c r="Q242" i="18"/>
  <c r="Q240" i="18"/>
  <c r="N248" i="18"/>
  <c r="N246" i="18"/>
  <c r="N244" i="18"/>
  <c r="N242" i="18"/>
  <c r="N240" i="18"/>
  <c r="Q274" i="18"/>
  <c r="Q272" i="18"/>
  <c r="Q270" i="18"/>
  <c r="Q268" i="18"/>
  <c r="Q266" i="18"/>
  <c r="N274" i="18"/>
  <c r="N272" i="18"/>
  <c r="N270" i="18"/>
  <c r="N268" i="18"/>
  <c r="N266" i="18"/>
  <c r="Q273" i="18"/>
  <c r="Q271" i="18"/>
  <c r="Q269" i="18"/>
  <c r="Q267" i="18"/>
  <c r="N273" i="18"/>
  <c r="N271" i="18"/>
  <c r="N269" i="18"/>
  <c r="N267" i="18"/>
  <c r="Q170" i="18"/>
  <c r="Q168" i="18"/>
  <c r="Q166" i="18"/>
  <c r="Q164" i="18"/>
  <c r="Q162" i="18"/>
  <c r="N170" i="18"/>
  <c r="N168" i="18"/>
  <c r="N166" i="18"/>
  <c r="N164" i="18"/>
  <c r="N162" i="18"/>
  <c r="Q169" i="18"/>
  <c r="Q167" i="18"/>
  <c r="Q165" i="18"/>
  <c r="Q163" i="18"/>
  <c r="N169" i="18"/>
  <c r="N167" i="18"/>
  <c r="N165" i="18"/>
  <c r="N163" i="18"/>
  <c r="Q66" i="18"/>
  <c r="Q64" i="18"/>
  <c r="Q62" i="18"/>
  <c r="Q60" i="18"/>
  <c r="Q58" i="18"/>
  <c r="D56" i="18" s="1"/>
  <c r="N66" i="18"/>
  <c r="N64" i="18"/>
  <c r="N62" i="18"/>
  <c r="N60" i="18"/>
  <c r="N58" i="18"/>
  <c r="Q65" i="18"/>
  <c r="Q63" i="18"/>
  <c r="Q61" i="18"/>
  <c r="Q59" i="18"/>
  <c r="N59" i="18"/>
  <c r="N65" i="18"/>
  <c r="N63" i="18"/>
  <c r="N61" i="18"/>
  <c r="Q91" i="18"/>
  <c r="Q89" i="18"/>
  <c r="Q87" i="18"/>
  <c r="Q85" i="18"/>
  <c r="N91" i="18"/>
  <c r="N89" i="18"/>
  <c r="N87" i="18"/>
  <c r="N85" i="18"/>
  <c r="Q92" i="18"/>
  <c r="Q90" i="18"/>
  <c r="Q88" i="18"/>
  <c r="Q86" i="18"/>
  <c r="Q84" i="18"/>
  <c r="N92" i="18"/>
  <c r="N90" i="18"/>
  <c r="N88" i="18"/>
  <c r="N86" i="18"/>
  <c r="N84" i="18"/>
  <c r="D186" i="18"/>
  <c r="N195" i="18"/>
  <c r="N191" i="18"/>
  <c r="Q189" i="18"/>
  <c r="Q188" i="18"/>
  <c r="N188" i="18"/>
  <c r="Q194" i="18"/>
  <c r="Q190" i="18"/>
  <c r="N190" i="18"/>
  <c r="N189" i="18"/>
  <c r="Q191" i="18"/>
  <c r="N194" i="18"/>
  <c r="N196" i="18"/>
  <c r="Q193" i="18"/>
  <c r="N193" i="18"/>
  <c r="N192" i="18"/>
  <c r="Q196" i="18"/>
  <c r="Q192" i="18"/>
  <c r="Q195" i="18"/>
  <c r="N115" i="18"/>
  <c r="N111" i="18"/>
  <c r="Q118" i="18"/>
  <c r="Q114" i="18"/>
  <c r="Q110" i="18"/>
  <c r="N118" i="18"/>
  <c r="N114" i="18"/>
  <c r="Q117" i="18"/>
  <c r="Q113" i="18"/>
  <c r="Q112" i="18"/>
  <c r="N112" i="18"/>
  <c r="Q115" i="18"/>
  <c r="N110" i="18"/>
  <c r="N117" i="18"/>
  <c r="N113" i="18"/>
  <c r="Q116" i="18"/>
  <c r="N116" i="18"/>
  <c r="Q111" i="18"/>
  <c r="Q222" i="18"/>
  <c r="Q218" i="18"/>
  <c r="Q214" i="18"/>
  <c r="N218" i="18"/>
  <c r="N214" i="18"/>
  <c r="N222" i="18"/>
  <c r="Q221" i="18"/>
  <c r="Q217" i="18"/>
  <c r="N217" i="18"/>
  <c r="N221" i="18"/>
  <c r="Q220" i="18"/>
  <c r="Q216" i="18"/>
  <c r="N219" i="18"/>
  <c r="N220" i="18"/>
  <c r="N216" i="18"/>
  <c r="N215" i="18"/>
  <c r="D212" i="18" s="1"/>
  <c r="Q219" i="18"/>
  <c r="Q215" i="18"/>
  <c r="D134" i="18"/>
  <c r="Q144" i="18"/>
  <c r="Q140" i="18"/>
  <c r="Q136" i="18"/>
  <c r="N144" i="18"/>
  <c r="N140" i="18"/>
  <c r="N136" i="18"/>
  <c r="Q143" i="18"/>
  <c r="Q139" i="18"/>
  <c r="N137" i="18"/>
  <c r="N143" i="18"/>
  <c r="N139" i="18"/>
  <c r="Q138" i="18"/>
  <c r="Q141" i="18"/>
  <c r="Q142" i="18"/>
  <c r="N141" i="18"/>
  <c r="N142" i="18"/>
  <c r="N138" i="18"/>
  <c r="Q137" i="18"/>
  <c r="Q32" i="18"/>
  <c r="D30" i="18" s="1"/>
  <c r="Q40" i="18"/>
  <c r="N33" i="18"/>
  <c r="Q36" i="18"/>
  <c r="N40" i="18"/>
  <c r="N36" i="18"/>
  <c r="N32" i="18"/>
  <c r="Q39" i="18"/>
  <c r="Q35" i="18"/>
  <c r="Q38" i="18"/>
  <c r="Q34" i="18"/>
  <c r="N38" i="18"/>
  <c r="N34" i="18"/>
  <c r="Q37" i="18"/>
  <c r="Q33" i="18"/>
  <c r="N37" i="18"/>
  <c r="N39" i="18"/>
  <c r="N35" i="18"/>
  <c r="Q9" i="18"/>
  <c r="Q8" i="18"/>
  <c r="N6" i="18"/>
  <c r="Q13" i="18"/>
  <c r="Q11" i="18"/>
  <c r="Q12" i="18"/>
  <c r="Q10" i="18"/>
  <c r="Q6" i="18"/>
  <c r="N12" i="18"/>
  <c r="N11" i="18"/>
  <c r="N10" i="18"/>
  <c r="N9" i="18"/>
  <c r="N13" i="18"/>
  <c r="N8" i="18"/>
  <c r="N14" i="18"/>
  <c r="Q14" i="18"/>
  <c r="N7" i="18"/>
  <c r="Q7" i="18"/>
  <c r="K232" i="18"/>
  <c r="K228" i="18"/>
  <c r="K226" i="18"/>
  <c r="K225" i="18"/>
  <c r="K224" i="18"/>
  <c r="K229" i="18"/>
  <c r="K227" i="18"/>
  <c r="K230" i="18"/>
  <c r="K214" i="18"/>
  <c r="K231" i="18"/>
  <c r="K215" i="18"/>
  <c r="K284" i="18"/>
  <c r="K276" i="18"/>
  <c r="K282" i="18"/>
  <c r="K283" i="18"/>
  <c r="K267" i="18"/>
  <c r="K277" i="18"/>
  <c r="K266" i="18"/>
  <c r="K281" i="18"/>
  <c r="K280" i="18"/>
  <c r="K279" i="18"/>
  <c r="K278" i="18"/>
  <c r="K258" i="18"/>
  <c r="K252" i="18"/>
  <c r="K251" i="18"/>
  <c r="K250" i="18"/>
  <c r="K241" i="18"/>
  <c r="K240" i="18"/>
  <c r="K257" i="18"/>
  <c r="K254" i="18"/>
  <c r="K256" i="18"/>
  <c r="K253" i="18"/>
  <c r="K255" i="18"/>
  <c r="K206" i="18"/>
  <c r="K204" i="18"/>
  <c r="K188" i="18"/>
  <c r="K203" i="18"/>
  <c r="K202" i="18"/>
  <c r="K201" i="18"/>
  <c r="K199" i="18"/>
  <c r="K189" i="18"/>
  <c r="K200" i="18"/>
  <c r="K198" i="18"/>
  <c r="K205" i="18"/>
  <c r="K102" i="18"/>
  <c r="K100" i="18"/>
  <c r="K84" i="18"/>
  <c r="K98" i="18"/>
  <c r="K101" i="18"/>
  <c r="K99" i="18"/>
  <c r="K97" i="18"/>
  <c r="K94" i="18"/>
  <c r="K96" i="18"/>
  <c r="K95" i="18"/>
  <c r="K85" i="18"/>
  <c r="K50" i="18"/>
  <c r="K44" i="18"/>
  <c r="K49" i="18"/>
  <c r="K43" i="18"/>
  <c r="K42" i="18"/>
  <c r="K33" i="18"/>
  <c r="K48" i="18"/>
  <c r="K32" i="18"/>
  <c r="K47" i="18"/>
  <c r="K46" i="18"/>
  <c r="K45" i="18"/>
  <c r="K154" i="18"/>
  <c r="K148" i="18"/>
  <c r="K146" i="18"/>
  <c r="K137" i="18"/>
  <c r="K149" i="18"/>
  <c r="K147" i="18"/>
  <c r="K153" i="18"/>
  <c r="K150" i="18"/>
  <c r="K152" i="18"/>
  <c r="K136" i="18"/>
  <c r="K151" i="18"/>
  <c r="K76" i="18"/>
  <c r="K68" i="18"/>
  <c r="K58" i="18"/>
  <c r="K73" i="18"/>
  <c r="K70" i="18"/>
  <c r="K69" i="18"/>
  <c r="K75" i="18"/>
  <c r="K59" i="18"/>
  <c r="K74" i="18"/>
  <c r="K72" i="18"/>
  <c r="K71" i="18"/>
  <c r="K128" i="18"/>
  <c r="K124" i="18"/>
  <c r="K121" i="18"/>
  <c r="K110" i="18"/>
  <c r="K123" i="18"/>
  <c r="K122" i="18"/>
  <c r="K120" i="18"/>
  <c r="K127" i="18"/>
  <c r="K111" i="18"/>
  <c r="K126" i="18"/>
  <c r="K125" i="18"/>
  <c r="K180" i="18"/>
  <c r="K172" i="18"/>
  <c r="K178" i="18"/>
  <c r="K177" i="18"/>
  <c r="K174" i="18"/>
  <c r="K179" i="18"/>
  <c r="K163" i="18"/>
  <c r="K162" i="18"/>
  <c r="K176" i="18"/>
  <c r="K175" i="18"/>
  <c r="K173" i="18"/>
  <c r="C53" i="22"/>
  <c r="E53" i="22" s="1"/>
  <c r="C52" i="22"/>
  <c r="E52" i="22" s="1"/>
  <c r="C51" i="22"/>
  <c r="E51" i="22" s="1"/>
  <c r="C50" i="22"/>
  <c r="E50" i="22" s="1"/>
  <c r="K24" i="18"/>
  <c r="K22" i="18"/>
  <c r="K21" i="18"/>
  <c r="K20" i="18"/>
  <c r="K16" i="18"/>
  <c r="K19" i="18"/>
  <c r="K23" i="18"/>
  <c r="K18" i="18"/>
  <c r="K6" i="18"/>
  <c r="K17" i="18"/>
  <c r="K7" i="18"/>
  <c r="D28" i="25"/>
  <c r="K260" i="18"/>
  <c r="J234" i="18"/>
  <c r="K207" i="18"/>
  <c r="J181" i="18"/>
  <c r="K52" i="18"/>
  <c r="K104" i="18"/>
  <c r="K51" i="18"/>
  <c r="K286" i="18"/>
  <c r="J260" i="18"/>
  <c r="K233" i="18"/>
  <c r="J207" i="18"/>
  <c r="J52" i="18"/>
  <c r="K259" i="18"/>
  <c r="J78" i="18"/>
  <c r="K285" i="18"/>
  <c r="J259" i="18"/>
  <c r="K130" i="18"/>
  <c r="J104" i="18"/>
  <c r="K77" i="18"/>
  <c r="J51" i="18"/>
  <c r="J130" i="18"/>
  <c r="K103" i="18"/>
  <c r="J285" i="18"/>
  <c r="K156" i="18"/>
  <c r="J77" i="18"/>
  <c r="K182" i="18"/>
  <c r="J156" i="18"/>
  <c r="K129" i="18"/>
  <c r="J103" i="18"/>
  <c r="J233" i="18"/>
  <c r="K208" i="18"/>
  <c r="J182" i="18"/>
  <c r="K155" i="18"/>
  <c r="J129" i="18"/>
  <c r="J155" i="18"/>
  <c r="K234" i="18"/>
  <c r="J208" i="18"/>
  <c r="K181" i="18"/>
  <c r="K78" i="18"/>
  <c r="J286" i="18"/>
  <c r="D7" i="25"/>
  <c r="K3" i="25"/>
  <c r="N19" i="24" s="1"/>
  <c r="N42" i="24"/>
  <c r="F29" i="24"/>
  <c r="Z29" i="24"/>
  <c r="AJ30" i="24"/>
  <c r="O3" i="25"/>
  <c r="G22" i="25"/>
  <c r="S83" i="24" s="1"/>
  <c r="J26" i="18"/>
  <c r="G19" i="25"/>
  <c r="G21" i="25"/>
  <c r="G25" i="25"/>
  <c r="AC83" i="24" s="1"/>
  <c r="G20" i="25"/>
  <c r="G18" i="25"/>
  <c r="I80" i="24" s="1"/>
  <c r="G24" i="25"/>
  <c r="K25" i="18"/>
  <c r="O2" i="25"/>
  <c r="D8" i="25"/>
  <c r="G17" i="25"/>
  <c r="G23" i="25"/>
  <c r="D29" i="25"/>
  <c r="J25" i="18"/>
  <c r="K26" i="18"/>
  <c r="K2" i="25"/>
  <c r="E20" i="18" l="1"/>
  <c r="C83" i="18"/>
  <c r="C12" i="18" s="1"/>
  <c r="C161" i="18"/>
  <c r="C15" i="18" s="1"/>
  <c r="C239" i="18"/>
  <c r="C18" i="18" s="1"/>
  <c r="G18" i="18" s="1"/>
  <c r="C265" i="18"/>
  <c r="C19" i="18" s="1"/>
  <c r="C186" i="18"/>
  <c r="F186" i="18" s="1"/>
  <c r="D57" i="18"/>
  <c r="D135" i="18"/>
  <c r="F238" i="18"/>
  <c r="D31" i="18"/>
  <c r="F264" i="18"/>
  <c r="C134" i="18"/>
  <c r="C56" i="18"/>
  <c r="F56" i="18" s="1"/>
  <c r="C13" i="22" s="1"/>
  <c r="C160" i="18"/>
  <c r="F160" i="18" s="1"/>
  <c r="C17" i="22" s="1"/>
  <c r="F161" i="18"/>
  <c r="F15" i="18" s="1"/>
  <c r="C30" i="18"/>
  <c r="F30" i="18" s="1"/>
  <c r="C12" i="22" s="1"/>
  <c r="D213" i="18"/>
  <c r="D187" i="18"/>
  <c r="C212" i="18"/>
  <c r="F212" i="18" s="1"/>
  <c r="B1" i="24"/>
  <c r="B52" i="24"/>
  <c r="C82" i="18"/>
  <c r="B95" i="24"/>
  <c r="A4" i="24"/>
  <c r="D108" i="18"/>
  <c r="C108" i="18" s="1"/>
  <c r="D4" i="18"/>
  <c r="D5" i="18" s="1"/>
  <c r="D9" i="18" s="1"/>
  <c r="B85" i="24"/>
  <c r="AE28" i="24"/>
  <c r="AE22" i="24"/>
  <c r="AE23" i="24"/>
  <c r="AE24" i="24"/>
  <c r="AE25" i="24"/>
  <c r="AE26" i="24"/>
  <c r="AE27" i="24"/>
  <c r="AE63" i="24"/>
  <c r="P2" i="18"/>
  <c r="P184" i="18" s="1"/>
  <c r="M2" i="18"/>
  <c r="M80" i="18" s="1"/>
  <c r="A31" i="24"/>
  <c r="A32" i="24"/>
  <c r="F52" i="22"/>
  <c r="J52" i="22" s="1"/>
  <c r="D13" i="22"/>
  <c r="D30" i="22"/>
  <c r="D32" i="22"/>
  <c r="D14" i="22"/>
  <c r="D16" i="22"/>
  <c r="D47" i="22"/>
  <c r="D50" i="22"/>
  <c r="D35" i="22"/>
  <c r="D48" i="22"/>
  <c r="D33" i="22"/>
  <c r="D51" i="22"/>
  <c r="F50" i="22"/>
  <c r="J50" i="22" s="1"/>
  <c r="E40" i="22"/>
  <c r="E42" i="22"/>
  <c r="D11" i="22"/>
  <c r="D29" i="22"/>
  <c r="E4" i="22"/>
  <c r="D49" i="22"/>
  <c r="D34" i="22"/>
  <c r="D31" i="22"/>
  <c r="AE64" i="24"/>
  <c r="D15" i="22"/>
  <c r="AE60" i="24"/>
  <c r="AE62" i="24"/>
  <c r="D53" i="22"/>
  <c r="D52" i="22"/>
  <c r="D17" i="22"/>
  <c r="S80" i="24"/>
  <c r="E23" i="22"/>
  <c r="E24" i="22"/>
  <c r="E5" i="22"/>
  <c r="Z78" i="24"/>
  <c r="F27" i="22"/>
  <c r="S77" i="24"/>
  <c r="AE59" i="24"/>
  <c r="D12" i="22"/>
  <c r="AE61" i="24"/>
  <c r="E22" i="22"/>
  <c r="AE58" i="24"/>
  <c r="E6" i="22"/>
  <c r="I83" i="24"/>
  <c r="I76" i="24"/>
  <c r="E7" i="22"/>
  <c r="B35" i="24"/>
  <c r="B102" i="24"/>
  <c r="E41" i="22"/>
  <c r="AC80" i="24"/>
  <c r="S76" i="24"/>
  <c r="E25" i="22"/>
  <c r="K6" i="25"/>
  <c r="C14" i="24" s="1"/>
  <c r="E43" i="22"/>
  <c r="AC76" i="24"/>
  <c r="AJ78" i="24"/>
  <c r="AC77" i="24"/>
  <c r="F45" i="22"/>
  <c r="F53" i="22"/>
  <c r="J53" i="22" s="1"/>
  <c r="F51" i="22"/>
  <c r="J51" i="22" s="1"/>
  <c r="P78" i="24"/>
  <c r="F9" i="22"/>
  <c r="I77" i="24"/>
  <c r="D17" i="18" l="1"/>
  <c r="C213" i="18"/>
  <c r="C17" i="18" s="1"/>
  <c r="G17" i="18" s="1"/>
  <c r="D14" i="18"/>
  <c r="C135" i="18"/>
  <c r="F239" i="18"/>
  <c r="F18" i="18" s="1"/>
  <c r="F265" i="18"/>
  <c r="F19" i="18" s="1"/>
  <c r="D16" i="18"/>
  <c r="C187" i="18"/>
  <c r="C16" i="18" s="1"/>
  <c r="G16" i="18" s="1"/>
  <c r="D10" i="18"/>
  <c r="C31" i="18"/>
  <c r="D11" i="18"/>
  <c r="C57" i="18"/>
  <c r="F83" i="18"/>
  <c r="F12" i="18" s="1"/>
  <c r="C5" i="18"/>
  <c r="F82" i="18"/>
  <c r="C14" i="22" s="1"/>
  <c r="Z25" i="24" s="1"/>
  <c r="G12" i="18"/>
  <c r="F134" i="18"/>
  <c r="C16" i="22" s="1"/>
  <c r="C34" i="22" s="1"/>
  <c r="E34" i="22" s="1"/>
  <c r="F34" i="22" s="1"/>
  <c r="F108" i="18"/>
  <c r="C15" i="22" s="1"/>
  <c r="Z26" i="24" s="1"/>
  <c r="Z62" i="24" s="1"/>
  <c r="D109" i="18"/>
  <c r="C4" i="18"/>
  <c r="F4" i="18" s="1"/>
  <c r="C11" i="22" s="1"/>
  <c r="G19" i="18"/>
  <c r="G15" i="18"/>
  <c r="C48" i="22"/>
  <c r="E48" i="22" s="1"/>
  <c r="F48" i="22" s="1"/>
  <c r="C31" i="22"/>
  <c r="E31" i="22" s="1"/>
  <c r="F31" i="22" s="1"/>
  <c r="C49" i="22"/>
  <c r="E49" i="22" s="1"/>
  <c r="F49" i="22" s="1"/>
  <c r="C35" i="22"/>
  <c r="E35" i="22" s="1"/>
  <c r="F35" i="22" s="1"/>
  <c r="M106" i="18"/>
  <c r="M28" i="18"/>
  <c r="P28" i="18"/>
  <c r="P106" i="18"/>
  <c r="P80" i="18"/>
  <c r="P132" i="18"/>
  <c r="P54" i="18"/>
  <c r="P262" i="18"/>
  <c r="P236" i="18"/>
  <c r="P158" i="18"/>
  <c r="P210" i="18"/>
  <c r="M158" i="18"/>
  <c r="M184" i="18"/>
  <c r="M54" i="18"/>
  <c r="M132" i="18"/>
  <c r="M262" i="18"/>
  <c r="M210" i="18"/>
  <c r="M236" i="18"/>
  <c r="E14" i="22" l="1"/>
  <c r="AJ25" i="24" s="1"/>
  <c r="AJ61" i="24" s="1"/>
  <c r="C11" i="18"/>
  <c r="G11" i="18" s="1"/>
  <c r="F57" i="18"/>
  <c r="F11" i="18" s="1"/>
  <c r="D13" i="18"/>
  <c r="D20" i="18" s="1"/>
  <c r="C109" i="18"/>
  <c r="C13" i="18" s="1"/>
  <c r="C10" i="18"/>
  <c r="G10" i="18" s="1"/>
  <c r="F31" i="18"/>
  <c r="F10" i="18" s="1"/>
  <c r="F187" i="18"/>
  <c r="F16" i="18" s="1"/>
  <c r="C14" i="18"/>
  <c r="F135" i="18"/>
  <c r="F14" i="18" s="1"/>
  <c r="F213" i="18"/>
  <c r="F17" i="18" s="1"/>
  <c r="C18" i="22"/>
  <c r="F5" i="18"/>
  <c r="F9" i="18" s="1"/>
  <c r="C9" i="18"/>
  <c r="G14" i="18"/>
  <c r="E12" i="22"/>
  <c r="AJ23" i="24" s="1"/>
  <c r="AJ59" i="24" s="1"/>
  <c r="G13" i="18"/>
  <c r="C47" i="22"/>
  <c r="E47" i="22" s="1"/>
  <c r="F47" i="22" s="1"/>
  <c r="C32" i="22"/>
  <c r="E32" i="22" s="1"/>
  <c r="F32" i="22" s="1"/>
  <c r="C33" i="22"/>
  <c r="E33" i="22" s="1"/>
  <c r="F33" i="22" s="1"/>
  <c r="Z61" i="24"/>
  <c r="Z28" i="24"/>
  <c r="Z64" i="24" s="1"/>
  <c r="Z27" i="24"/>
  <c r="Z63" i="24" s="1"/>
  <c r="E17" i="22"/>
  <c r="AJ28" i="24" s="1"/>
  <c r="AJ64" i="24" s="1"/>
  <c r="E16" i="22"/>
  <c r="F16" i="22" s="1"/>
  <c r="F14" i="22"/>
  <c r="Z24" i="24"/>
  <c r="Z60" i="24" s="1"/>
  <c r="E13" i="22"/>
  <c r="E15" i="22"/>
  <c r="F109" i="18" l="1"/>
  <c r="F13" i="18" s="1"/>
  <c r="C20" i="18"/>
  <c r="F20" i="18"/>
  <c r="G9" i="18"/>
  <c r="G20" i="18" s="1"/>
  <c r="C30" i="22"/>
  <c r="E30" i="22" s="1"/>
  <c r="F30" i="22" s="1"/>
  <c r="Z23" i="24"/>
  <c r="Z59" i="24" s="1"/>
  <c r="H12" i="25"/>
  <c r="H11" i="25"/>
  <c r="H5" i="22" s="1"/>
  <c r="H13" i="25"/>
  <c r="H4" i="22" s="1"/>
  <c r="C29" i="22"/>
  <c r="E29" i="22" s="1"/>
  <c r="F29" i="22" s="1"/>
  <c r="E11" i="22"/>
  <c r="E18" i="22" s="1"/>
  <c r="I78" i="24" s="1"/>
  <c r="F17" i="22"/>
  <c r="Z22" i="24"/>
  <c r="Z58" i="24" s="1"/>
  <c r="E54" i="22"/>
  <c r="AC78" i="24" s="1"/>
  <c r="AC79" i="24" s="1"/>
  <c r="AJ27" i="24"/>
  <c r="AJ63" i="24" s="1"/>
  <c r="F12" i="22"/>
  <c r="AJ24" i="24"/>
  <c r="AJ60" i="24" s="1"/>
  <c r="F13" i="22"/>
  <c r="F15" i="22"/>
  <c r="AJ26" i="24"/>
  <c r="AJ62" i="24" s="1"/>
  <c r="H6" i="22" l="1"/>
  <c r="H7" i="22"/>
  <c r="E36" i="22"/>
  <c r="S78" i="24" s="1"/>
  <c r="S79" i="24" s="1"/>
  <c r="F11" i="22"/>
  <c r="AJ22" i="24"/>
  <c r="AJ58" i="24" s="1"/>
  <c r="G16" i="22" l="1"/>
  <c r="J16" i="22" s="1"/>
  <c r="G34" i="22" l="1"/>
  <c r="J34" i="22" s="1"/>
  <c r="G35" i="22"/>
  <c r="J35" i="22" s="1"/>
  <c r="G15" i="22"/>
  <c r="J15" i="22" s="1"/>
  <c r="G33" i="22"/>
  <c r="J33" i="22" s="1"/>
  <c r="G17" i="22"/>
  <c r="J17" i="22" s="1"/>
  <c r="G48" i="22"/>
  <c r="J48" i="22" s="1"/>
  <c r="G49" i="22"/>
  <c r="J49" i="22" s="1"/>
  <c r="G31" i="22"/>
  <c r="J31" i="22" s="1"/>
  <c r="G32" i="22"/>
  <c r="J32" i="22" s="1"/>
  <c r="G29" i="22"/>
  <c r="G30" i="22"/>
  <c r="J30" i="22" s="1"/>
  <c r="G47" i="22"/>
  <c r="G14" i="22"/>
  <c r="J14" i="22" s="1"/>
  <c r="G13" i="22"/>
  <c r="J13" i="22" s="1"/>
  <c r="G11" i="22"/>
  <c r="G12" i="22"/>
  <c r="J12" i="22" s="1"/>
  <c r="H11" i="22"/>
  <c r="H29" i="22"/>
  <c r="H47" i="22"/>
  <c r="B82" i="24" l="1"/>
  <c r="B84" i="24"/>
  <c r="B43" i="22"/>
  <c r="AC75" i="24" s="1"/>
  <c r="AC81" i="24" s="1"/>
  <c r="J47" i="22"/>
  <c r="J54" i="22" s="1"/>
  <c r="G59" i="22" s="1"/>
  <c r="B25" i="22"/>
  <c r="B7" i="22"/>
  <c r="J11" i="22"/>
  <c r="J18" i="22" s="1"/>
  <c r="G57" i="22" s="1"/>
  <c r="J29" i="22"/>
  <c r="J36" i="22" s="1"/>
  <c r="G58" i="22" s="1"/>
  <c r="P81" i="24" l="1"/>
  <c r="N81" i="24"/>
  <c r="Z81" i="24"/>
  <c r="X81" i="24"/>
  <c r="S75" i="24"/>
  <c r="S84" i="24" s="1"/>
  <c r="I75" i="24"/>
  <c r="I79" i="24" s="1"/>
  <c r="AJ81" i="24"/>
  <c r="AC82" i="24" s="1"/>
  <c r="AC84" i="24"/>
  <c r="G60" i="22"/>
  <c r="I58" i="22"/>
  <c r="S81" i="24" l="1"/>
  <c r="S82" i="24" s="1"/>
  <c r="S86" i="24" s="1"/>
  <c r="S87" i="24" s="1"/>
  <c r="I84" i="24"/>
  <c r="I81" i="24"/>
  <c r="AC86" i="24"/>
  <c r="AC87" i="24" s="1"/>
  <c r="I82" i="24" l="1"/>
  <c r="I86" i="24" s="1"/>
  <c r="I87" i="24" l="1"/>
  <c r="AC104" i="24" s="1"/>
  <c r="V102" i="24"/>
  <c r="B91" i="24"/>
</calcChain>
</file>

<file path=xl/sharedStrings.xml><?xml version="1.0" encoding="utf-8"?>
<sst xmlns="http://schemas.openxmlformats.org/spreadsheetml/2006/main" count="643" uniqueCount="209">
  <si>
    <t>均等割</t>
    <rPh sb="0" eb="3">
      <t>キントウワリ</t>
    </rPh>
    <phoneticPr fontId="2"/>
  </si>
  <si>
    <t>平等割</t>
    <rPh sb="0" eb="2">
      <t>ビョウドウ</t>
    </rPh>
    <rPh sb="2" eb="3">
      <t>ワリ</t>
    </rPh>
    <phoneticPr fontId="2"/>
  </si>
  <si>
    <t>合計</t>
    <rPh sb="0" eb="2">
      <t>ゴウケイ</t>
    </rPh>
    <phoneticPr fontId="2"/>
  </si>
  <si>
    <t>年齢</t>
    <rPh sb="0" eb="2">
      <t>ネンレイ</t>
    </rPh>
    <phoneticPr fontId="2"/>
  </si>
  <si>
    <t>年金収入</t>
    <rPh sb="0" eb="2">
      <t>ネンキン</t>
    </rPh>
    <rPh sb="2" eb="4">
      <t>シュウニュウ</t>
    </rPh>
    <phoneticPr fontId="2"/>
  </si>
  <si>
    <t>世帯員１</t>
    <rPh sb="0" eb="3">
      <t>セタイイン</t>
    </rPh>
    <phoneticPr fontId="2"/>
  </si>
  <si>
    <t>世帯員２</t>
    <rPh sb="0" eb="3">
      <t>セタイイン</t>
    </rPh>
    <phoneticPr fontId="2"/>
  </si>
  <si>
    <t>世帯員３</t>
    <rPh sb="0" eb="3">
      <t>セタイイン</t>
    </rPh>
    <phoneticPr fontId="2"/>
  </si>
  <si>
    <t>世帯員４</t>
    <rPh sb="0" eb="3">
      <t>セタイイン</t>
    </rPh>
    <phoneticPr fontId="2"/>
  </si>
  <si>
    <t>世帯員５</t>
    <rPh sb="0" eb="3">
      <t>セタイイン</t>
    </rPh>
    <phoneticPr fontId="2"/>
  </si>
  <si>
    <t>世帯員６</t>
    <rPh sb="0" eb="3">
      <t>セタイイン</t>
    </rPh>
    <phoneticPr fontId="2"/>
  </si>
  <si>
    <t>世帯員７</t>
    <rPh sb="0" eb="3">
      <t>セタイイン</t>
    </rPh>
    <phoneticPr fontId="2"/>
  </si>
  <si>
    <t>給与収入</t>
    <phoneticPr fontId="2"/>
  </si>
  <si>
    <t>給与所得</t>
    <rPh sb="2" eb="4">
      <t>ショトク</t>
    </rPh>
    <phoneticPr fontId="2"/>
  </si>
  <si>
    <t>年金所得</t>
    <rPh sb="0" eb="2">
      <t>ネンキン</t>
    </rPh>
    <rPh sb="2" eb="4">
      <t>ショトク</t>
    </rPh>
    <phoneticPr fontId="2"/>
  </si>
  <si>
    <t>歳</t>
    <rPh sb="0" eb="1">
      <t>サイ</t>
    </rPh>
    <phoneticPr fontId="2"/>
  </si>
  <si>
    <t>円</t>
    <rPh sb="0" eb="1">
      <t>エン</t>
    </rPh>
    <phoneticPr fontId="2"/>
  </si>
  <si>
    <t>《軽減の有無》</t>
    <rPh sb="1" eb="3">
      <t>ケイゲン</t>
    </rPh>
    <rPh sb="4" eb="6">
      <t>ウム</t>
    </rPh>
    <phoneticPr fontId="2"/>
  </si>
  <si>
    <t>《特定世帯》</t>
    <rPh sb="1" eb="3">
      <t>トクテイ</t>
    </rPh>
    <rPh sb="3" eb="5">
      <t>セタイ</t>
    </rPh>
    <phoneticPr fontId="2"/>
  </si>
  <si>
    <t>軽減無し</t>
    <rPh sb="0" eb="2">
      <t>ケイゲン</t>
    </rPh>
    <rPh sb="2" eb="3">
      <t>ナ</t>
    </rPh>
    <phoneticPr fontId="2"/>
  </si>
  <si>
    <t>該当</t>
    <rPh sb="0" eb="2">
      <t>ガイトウ</t>
    </rPh>
    <phoneticPr fontId="2"/>
  </si>
  <si>
    <t>非該当</t>
    <rPh sb="0" eb="1">
      <t>ヒ</t>
    </rPh>
    <rPh sb="1" eb="3">
      <t>ガイトウ</t>
    </rPh>
    <phoneticPr fontId="2"/>
  </si>
  <si>
    <t>※百円未満切捨て</t>
    <rPh sb="1" eb="3">
      <t>ヒャクエン</t>
    </rPh>
    <rPh sb="3" eb="5">
      <t>ミマン</t>
    </rPh>
    <rPh sb="5" eb="7">
      <t>キリス</t>
    </rPh>
    <phoneticPr fontId="2"/>
  </si>
  <si>
    <t>医療分</t>
    <rPh sb="0" eb="2">
      <t>イリョウ</t>
    </rPh>
    <rPh sb="2" eb="3">
      <t>ブン</t>
    </rPh>
    <phoneticPr fontId="2"/>
  </si>
  <si>
    <t>介護分</t>
    <rPh sb="0" eb="2">
      <t>カイゴ</t>
    </rPh>
    <rPh sb="2" eb="3">
      <t>ブン</t>
    </rPh>
    <phoneticPr fontId="2"/>
  </si>
  <si>
    <t>以降</t>
    <rPh sb="0" eb="2">
      <t>イコウ</t>
    </rPh>
    <phoneticPr fontId="2"/>
  </si>
  <si>
    <t>以前</t>
    <rPh sb="0" eb="2">
      <t>イゼン</t>
    </rPh>
    <phoneticPr fontId="2"/>
  </si>
  <si>
    <t>氏名</t>
    <rPh sb="0" eb="2">
      <t>シメイ</t>
    </rPh>
    <phoneticPr fontId="2"/>
  </si>
  <si>
    <t>所得割</t>
    <rPh sb="0" eb="3">
      <t>ショトクワリ</t>
    </rPh>
    <phoneticPr fontId="2"/>
  </si>
  <si>
    <t>その他の所得</t>
    <rPh sb="2" eb="3">
      <t>タ</t>
    </rPh>
    <rPh sb="4" eb="6">
      <t>ショトク</t>
    </rPh>
    <phoneticPr fontId="2"/>
  </si>
  <si>
    <t>国民健康保険税試算結果</t>
    <rPh sb="0" eb="2">
      <t>コクミン</t>
    </rPh>
    <rPh sb="2" eb="4">
      <t>ケンコウ</t>
    </rPh>
    <rPh sb="4" eb="6">
      <t>ホケン</t>
    </rPh>
    <rPh sb="6" eb="7">
      <t>ゼイ</t>
    </rPh>
    <rPh sb="7" eb="9">
      <t>シサン</t>
    </rPh>
    <rPh sb="9" eb="11">
      <t>ケッカ</t>
    </rPh>
    <phoneticPr fontId="2"/>
  </si>
  <si>
    <t>限度額</t>
    <rPh sb="0" eb="2">
      <t>ゲンド</t>
    </rPh>
    <rPh sb="2" eb="3">
      <t>ガク</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</si>
  <si>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</si>
  <si>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</si>
  <si>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</si>
  <si>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支援金分</t>
    <rPh sb="0" eb="3">
      <t>シエンキン</t>
    </rPh>
    <rPh sb="3" eb="4">
      <t>ブン</t>
    </rPh>
    <phoneticPr fontId="2"/>
  </si>
  <si>
    <t>40歳～64歳の方</t>
    <rPh sb="2" eb="3">
      <t>サイ</t>
    </rPh>
    <rPh sb="6" eb="7">
      <t>サイ</t>
    </rPh>
    <rPh sb="8" eb="9">
      <t>カタ</t>
    </rPh>
    <phoneticPr fontId="2"/>
  </si>
  <si>
    <t>※百円未満切捨て</t>
    <phoneticPr fontId="2"/>
  </si>
  <si>
    <t>１カ月分</t>
    <rPh sb="2" eb="3">
      <t>ゲツ</t>
    </rPh>
    <rPh sb="3" eb="4">
      <t>ブン</t>
    </rPh>
    <phoneticPr fontId="2"/>
  </si>
  <si>
    <t>総合計</t>
    <rPh sb="0" eb="1">
      <t>ソウ</t>
    </rPh>
    <rPh sb="1" eb="3">
      <t>ゴウケイ</t>
    </rPh>
    <phoneticPr fontId="2"/>
  </si>
  <si>
    <r>
      <t xml:space="preserve">合計
</t>
    </r>
    <r>
      <rPr>
        <sz val="11"/>
        <rFont val="ＭＳ Ｐ明朝"/>
        <family val="1"/>
        <charset val="128"/>
      </rPr>
      <t>(</t>
    </r>
    <r>
      <rPr>
        <sz val="11"/>
        <rFont val="ＭＳ Ｐゴシック"/>
        <family val="3"/>
        <charset val="128"/>
      </rPr>
      <t>④+⑤+⑥</t>
    </r>
    <r>
      <rPr>
        <sz val="11"/>
        <rFont val="ＭＳ Ｐ明朝"/>
        <family val="1"/>
        <charset val="128"/>
      </rPr>
      <t>)</t>
    </r>
    <phoneticPr fontId="2"/>
  </si>
  <si>
    <t>※百円未満切捨て</t>
    <phoneticPr fontId="2"/>
  </si>
  <si>
    <t>軽減判定所得</t>
    <phoneticPr fontId="2"/>
  </si>
  <si>
    <t>計</t>
    <rPh sb="0" eb="1">
      <t>ケイ</t>
    </rPh>
    <phoneticPr fontId="2"/>
  </si>
  <si>
    <t>世帯主</t>
    <rPh sb="0" eb="3">
      <t>セタイヌシ</t>
    </rPh>
    <phoneticPr fontId="2"/>
  </si>
  <si>
    <t>軽減についても計算されますが、専従者給与が関わる場合は実際の税額と異なる場合があります。</t>
    <rPh sb="0" eb="2">
      <t>ケイゲン</t>
    </rPh>
    <rPh sb="7" eb="9">
      <t>ケイサン</t>
    </rPh>
    <rPh sb="15" eb="18">
      <t>センジュウシャ</t>
    </rPh>
    <rPh sb="18" eb="20">
      <t>キュウヨ</t>
    </rPh>
    <rPh sb="21" eb="22">
      <t>カカ</t>
    </rPh>
    <rPh sb="24" eb="26">
      <t>バアイ</t>
    </rPh>
    <rPh sb="27" eb="29">
      <t>ジッサイ</t>
    </rPh>
    <rPh sb="30" eb="32">
      <t>ゼイガク</t>
    </rPh>
    <rPh sb="33" eb="34">
      <t>コト</t>
    </rPh>
    <rPh sb="36" eb="38">
      <t>バアイ</t>
    </rPh>
    <phoneticPr fontId="2"/>
  </si>
  <si>
    <t>擬制世帯主</t>
    <rPh sb="0" eb="2">
      <t>ギセイ</t>
    </rPh>
    <rPh sb="2" eb="5">
      <t>セタイヌシ</t>
    </rPh>
    <phoneticPr fontId="2"/>
  </si>
  <si>
    <t>旧国保</t>
    <rPh sb="0" eb="1">
      <t>キュウ</t>
    </rPh>
    <rPh sb="1" eb="3">
      <t>コクホ</t>
    </rPh>
    <phoneticPr fontId="2"/>
  </si>
  <si>
    <t>旧国保１</t>
    <rPh sb="0" eb="1">
      <t>キュウ</t>
    </rPh>
    <rPh sb="1" eb="3">
      <t>コクホ</t>
    </rPh>
    <phoneticPr fontId="2"/>
  </si>
  <si>
    <t>旧国保２</t>
    <rPh sb="0" eb="1">
      <t>キュウ</t>
    </rPh>
    <rPh sb="1" eb="3">
      <t>コクホ</t>
    </rPh>
    <phoneticPr fontId="2"/>
  </si>
  <si>
    <t>旧国保３</t>
    <rPh sb="0" eb="1">
      <t>キュウ</t>
    </rPh>
    <rPh sb="1" eb="3">
      <t>コクホ</t>
    </rPh>
    <phoneticPr fontId="2"/>
  </si>
  <si>
    <t>税率</t>
    <rPh sb="0" eb="2">
      <t>ゼイリツ</t>
    </rPh>
    <phoneticPr fontId="2"/>
  </si>
  <si>
    <t>（注意事項）</t>
    <rPh sb="1" eb="3">
      <t>チュウイ</t>
    </rPh>
    <rPh sb="3" eb="5">
      <t>ジコウ</t>
    </rPh>
    <phoneticPr fontId="2"/>
  </si>
  <si>
    <t>①
現在
の年齢</t>
    <rPh sb="2" eb="4">
      <t>ゲンザイ</t>
    </rPh>
    <rPh sb="6" eb="8">
      <t>ネンレイ</t>
    </rPh>
    <phoneticPr fontId="2"/>
  </si>
  <si>
    <t xml:space="preserve">②
給与収入
</t>
    <rPh sb="2" eb="4">
      <t>キュウヨ</t>
    </rPh>
    <rPh sb="4" eb="6">
      <t>シュウニュウ</t>
    </rPh>
    <phoneticPr fontId="2"/>
  </si>
  <si>
    <t>　①年齢は収入などが無くても必ず入力してください。１歳未満の子供は０歳で入力してください。</t>
    <rPh sb="2" eb="4">
      <t>ネンレイ</t>
    </rPh>
    <rPh sb="5" eb="7">
      <t>シュウニュウ</t>
    </rPh>
    <rPh sb="10" eb="11">
      <t>ナ</t>
    </rPh>
    <rPh sb="14" eb="15">
      <t>カナラ</t>
    </rPh>
    <rPh sb="16" eb="18">
      <t>ニュウリョク</t>
    </rPh>
    <phoneticPr fontId="2"/>
  </si>
  <si>
    <t xml:space="preserve">⑦
課税所得
(⑤-⑥)
</t>
    <phoneticPr fontId="2"/>
  </si>
  <si>
    <t>⑥
基礎控除額</t>
    <rPh sb="2" eb="4">
      <t>キソ</t>
    </rPh>
    <phoneticPr fontId="2"/>
  </si>
  <si>
    <t xml:space="preserve">④
その他所得
</t>
    <rPh sb="4" eb="5">
      <t>タ</t>
    </rPh>
    <rPh sb="5" eb="7">
      <t>ショトク</t>
    </rPh>
    <phoneticPr fontId="2"/>
  </si>
  <si>
    <t>⑤
課税総所得
金額</t>
    <phoneticPr fontId="2"/>
  </si>
  <si>
    <t>④
その他所得</t>
    <rPh sb="4" eb="5">
      <t>タ</t>
    </rPh>
    <rPh sb="5" eb="7">
      <t>ショトク</t>
    </rPh>
    <phoneticPr fontId="2"/>
  </si>
  <si>
    <t>※入力項目の色が</t>
    <rPh sb="1" eb="3">
      <t>ニュウリョク</t>
    </rPh>
    <rPh sb="3" eb="5">
      <t>コウモク</t>
    </rPh>
    <rPh sb="6" eb="7">
      <t>イロ</t>
    </rPh>
    <phoneticPr fontId="2"/>
  </si>
  <si>
    <t>又は</t>
    <rPh sb="0" eb="1">
      <t>マタ</t>
    </rPh>
    <phoneticPr fontId="2"/>
  </si>
  <si>
    <t>③
年金収入</t>
    <rPh sb="2" eb="4">
      <t>ネンキン</t>
    </rPh>
    <rPh sb="4" eb="6">
      <t>シュウニュウ</t>
    </rPh>
    <phoneticPr fontId="2"/>
  </si>
  <si>
    <t xml:space="preserve">①
現在
の年齢
</t>
    <rPh sb="2" eb="4">
      <t>ゲンザイ</t>
    </rPh>
    <rPh sb="6" eb="8">
      <t>ネンレイ</t>
    </rPh>
    <phoneticPr fontId="2"/>
  </si>
  <si>
    <r>
      <t>　</t>
    </r>
    <r>
      <rPr>
        <b/>
        <sz val="9"/>
        <color indexed="12"/>
        <rFont val="ＭＳ ゴシック"/>
        <family val="3"/>
        <charset val="128"/>
      </rPr>
      <t>（世帯主である場合には上の世帯主情報の右端で「旧国保」を選択して、下の欄には入力しないでください。）</t>
    </r>
    <phoneticPr fontId="2"/>
  </si>
  <si>
    <t>人</t>
    <rPh sb="0" eb="1">
      <t>ニン</t>
    </rPh>
    <phoneticPr fontId="2"/>
  </si>
  <si>
    <t>　　</t>
    <phoneticPr fontId="2"/>
  </si>
  <si>
    <t>加入者数</t>
    <rPh sb="0" eb="3">
      <t>カニュウシャ</t>
    </rPh>
    <rPh sb="3" eb="4">
      <t>スウ</t>
    </rPh>
    <phoneticPr fontId="2"/>
  </si>
  <si>
    <t>計算</t>
    <rPh sb="0" eb="2">
      <t>ケイサン</t>
    </rPh>
    <phoneticPr fontId="2"/>
  </si>
  <si>
    <t>均等割</t>
    <rPh sb="0" eb="3">
      <t>キントウワ</t>
    </rPh>
    <phoneticPr fontId="2"/>
  </si>
  <si>
    <t>課税限度額</t>
    <rPh sb="0" eb="2">
      <t>カゼイ</t>
    </rPh>
    <rPh sb="2" eb="4">
      <t>ゲンド</t>
    </rPh>
    <rPh sb="4" eb="5">
      <t>ガク</t>
    </rPh>
    <phoneticPr fontId="2"/>
  </si>
  <si>
    <t>一月あたり(平均)</t>
    <rPh sb="0" eb="2">
      <t>ヒトツキ</t>
    </rPh>
    <rPh sb="6" eb="8">
      <t>ヘイキン</t>
    </rPh>
    <phoneticPr fontId="2"/>
  </si>
  <si>
    <t>国民健康保険税</t>
    <rPh sb="0" eb="2">
      <t>コクミン</t>
    </rPh>
    <rPh sb="2" eb="4">
      <t>ケンコウ</t>
    </rPh>
    <rPh sb="4" eb="6">
      <t>ホケン</t>
    </rPh>
    <rPh sb="6" eb="7">
      <t>ゼイ</t>
    </rPh>
    <phoneticPr fontId="2"/>
  </si>
  <si>
    <t>＝</t>
    <phoneticPr fontId="2"/>
  </si>
  <si>
    <t>＋</t>
    <phoneticPr fontId="2"/>
  </si>
  <si>
    <t>＋</t>
    <phoneticPr fontId="2"/>
  </si>
  <si>
    <t>所得割</t>
    <phoneticPr fontId="2"/>
  </si>
  <si>
    <t>平等割</t>
    <phoneticPr fontId="2"/>
  </si>
  <si>
    <r>
      <t>年税額合計</t>
    </r>
    <r>
      <rPr>
        <sz val="10"/>
        <rFont val="ＭＳ ゴシック"/>
        <family val="3"/>
        <charset val="128"/>
      </rPr>
      <t xml:space="preserve">
</t>
    </r>
    <r>
      <rPr>
        <sz val="6"/>
        <rFont val="ＭＳ ゴシック"/>
        <family val="3"/>
        <charset val="128"/>
      </rPr>
      <t>（１００円未満切捨て）</t>
    </r>
    <rPh sb="0" eb="3">
      <t>ネンゼイガク</t>
    </rPh>
    <rPh sb="3" eb="5">
      <t>ゴウケイ</t>
    </rPh>
    <rPh sb="10" eb="11">
      <t>エン</t>
    </rPh>
    <rPh sb="11" eb="13">
      <t>ミマン</t>
    </rPh>
    <rPh sb="13" eb="15">
      <t>キリス</t>
    </rPh>
    <phoneticPr fontId="2"/>
  </si>
  <si>
    <t>）</t>
    <phoneticPr fontId="2"/>
  </si>
  <si>
    <t>入力情報から試算した結果、あなたの世帯の</t>
    <rPh sb="0" eb="2">
      <t>ニュウリョク</t>
    </rPh>
    <rPh sb="2" eb="4">
      <t>ジョウホウ</t>
    </rPh>
    <rPh sb="6" eb="8">
      <t>シサン</t>
    </rPh>
    <rPh sb="10" eb="12">
      <t>ケッカ</t>
    </rPh>
    <phoneticPr fontId="2"/>
  </si>
  <si>
    <t>に変更された場合は、誤りがある可能性がありますので入力内容を再度確認してください。</t>
    <rPh sb="1" eb="3">
      <t>ヘンコウ</t>
    </rPh>
    <rPh sb="6" eb="8">
      <t>バアイ</t>
    </rPh>
    <rPh sb="10" eb="11">
      <t>アヤマ</t>
    </rPh>
    <rPh sb="15" eb="18">
      <t>カノウセイ</t>
    </rPh>
    <rPh sb="25" eb="27">
      <t>ニュウリョク</t>
    </rPh>
    <rPh sb="27" eb="29">
      <t>ナイヨウ</t>
    </rPh>
    <rPh sb="30" eb="32">
      <t>サイド</t>
    </rPh>
    <rPh sb="32" eb="34">
      <t>カクニン</t>
    </rPh>
    <phoneticPr fontId="2"/>
  </si>
  <si>
    <t>注意：年度の途中で40歳又は65歳になる方がいる場合は、介護分の計算結果が実際の数値とは異なります。</t>
    <rPh sb="0" eb="1">
      <t>チュウ</t>
    </rPh>
    <rPh sb="1" eb="2">
      <t>イ</t>
    </rPh>
    <rPh sb="3" eb="4">
      <t>ネン</t>
    </rPh>
    <rPh sb="4" eb="5">
      <t>ド</t>
    </rPh>
    <rPh sb="6" eb="8">
      <t>トチュウ</t>
    </rPh>
    <rPh sb="11" eb="12">
      <t>サイ</t>
    </rPh>
    <rPh sb="12" eb="13">
      <t>マタ</t>
    </rPh>
    <rPh sb="16" eb="17">
      <t>サイ</t>
    </rPh>
    <rPh sb="20" eb="21">
      <t>カタ</t>
    </rPh>
    <rPh sb="24" eb="26">
      <t>バアイ</t>
    </rPh>
    <rPh sb="28" eb="30">
      <t>カイゴ</t>
    </rPh>
    <rPh sb="30" eb="31">
      <t>ブン</t>
    </rPh>
    <rPh sb="32" eb="34">
      <t>ケイサン</t>
    </rPh>
    <rPh sb="34" eb="36">
      <t>ケッカ</t>
    </rPh>
    <rPh sb="37" eb="39">
      <t>ジッサイ</t>
    </rPh>
    <rPh sb="40" eb="42">
      <t>スウチ</t>
    </rPh>
    <rPh sb="44" eb="45">
      <t>コト</t>
    </rPh>
    <phoneticPr fontId="2"/>
  </si>
  <si>
    <t xml:space="preserve">①現在
の年齢
</t>
    <rPh sb="1" eb="3">
      <t>ゲンザイ</t>
    </rPh>
    <rPh sb="5" eb="7">
      <t>ネンレイ</t>
    </rPh>
    <phoneticPr fontId="2"/>
  </si>
  <si>
    <t xml:space="preserve">②給与収入
</t>
    <rPh sb="1" eb="3">
      <t>キュウヨ</t>
    </rPh>
    <rPh sb="3" eb="5">
      <t>シュウニュウ</t>
    </rPh>
    <phoneticPr fontId="2"/>
  </si>
  <si>
    <t xml:space="preserve">⑦課税所得
(⑤-⑥)
</t>
    <phoneticPr fontId="2"/>
  </si>
  <si>
    <t>⑥基礎控除額</t>
    <rPh sb="1" eb="3">
      <t>キソ</t>
    </rPh>
    <phoneticPr fontId="2"/>
  </si>
  <si>
    <t>⑤課税総所得
金額</t>
    <phoneticPr fontId="2"/>
  </si>
  <si>
    <t xml:space="preserve">④その他所得
</t>
    <rPh sb="3" eb="4">
      <t>タ</t>
    </rPh>
    <rPh sb="4" eb="6">
      <t>ショトク</t>
    </rPh>
    <phoneticPr fontId="2"/>
  </si>
  <si>
    <r>
      <t xml:space="preserve">③年金収入
</t>
    </r>
    <r>
      <rPr>
        <sz val="6"/>
        <rFont val="ＭＳ Ｐゴシック"/>
        <family val="3"/>
        <charset val="128"/>
      </rPr>
      <t>　</t>
    </r>
    <rPh sb="1" eb="3">
      <t>ネンキン</t>
    </rPh>
    <rPh sb="3" eb="5">
      <t>シュウニュウ</t>
    </rPh>
    <phoneticPr fontId="2"/>
  </si>
  <si>
    <t>※実際の税額については、申告額・課税額に基づいて計算します。このシートで計算された年税額は、あくまでも概算数値になりますので御了承ください。</t>
    <rPh sb="1" eb="3">
      <t>ジッサイ</t>
    </rPh>
    <rPh sb="4" eb="6">
      <t>ゼイガク</t>
    </rPh>
    <rPh sb="12" eb="14">
      <t>シンコク</t>
    </rPh>
    <rPh sb="14" eb="15">
      <t>ガク</t>
    </rPh>
    <rPh sb="16" eb="19">
      <t>カゼイガク</t>
    </rPh>
    <rPh sb="20" eb="21">
      <t>モト</t>
    </rPh>
    <rPh sb="24" eb="26">
      <t>ケイサン</t>
    </rPh>
    <rPh sb="36" eb="38">
      <t>ケイサン</t>
    </rPh>
    <rPh sb="41" eb="42">
      <t>ネン</t>
    </rPh>
    <rPh sb="42" eb="43">
      <t>ゼイ</t>
    </rPh>
    <rPh sb="43" eb="44">
      <t>ガク</t>
    </rPh>
    <rPh sb="51" eb="53">
      <t>ガイサン</t>
    </rPh>
    <rPh sb="53" eb="55">
      <t>スウチ</t>
    </rPh>
    <rPh sb="62" eb="65">
      <t>ゴリョウショウ</t>
    </rPh>
    <phoneticPr fontId="2"/>
  </si>
  <si>
    <t>←この色で塗られている欄の各項目を半角数字で入力又は選択してください。</t>
    <rPh sb="3" eb="4">
      <t>イロ</t>
    </rPh>
    <rPh sb="5" eb="6">
      <t>ヌ</t>
    </rPh>
    <rPh sb="11" eb="12">
      <t>ラン</t>
    </rPh>
    <rPh sb="13" eb="14">
      <t>カク</t>
    </rPh>
    <rPh sb="14" eb="16">
      <t>コウモク</t>
    </rPh>
    <rPh sb="17" eb="19">
      <t>ハンカク</t>
    </rPh>
    <rPh sb="19" eb="21">
      <t>スウジ</t>
    </rPh>
    <rPh sb="22" eb="24">
      <t>ニュウリョク</t>
    </rPh>
    <rPh sb="24" eb="25">
      <t>マタ</t>
    </rPh>
    <rPh sb="26" eb="28">
      <t>センタク</t>
    </rPh>
    <phoneticPr fontId="2"/>
  </si>
  <si>
    <r>
      <t>③ 世帯の中に</t>
    </r>
    <r>
      <rPr>
        <b/>
        <u/>
        <sz val="10"/>
        <rFont val="ＭＳ ゴシック"/>
        <family val="3"/>
        <charset val="128"/>
      </rPr>
      <t>国民健康保険から後期高齢者医療制度へ移った方がいる場合</t>
    </r>
    <r>
      <rPr>
        <b/>
        <sz val="10"/>
        <rFont val="ＭＳ ゴシック"/>
        <family val="3"/>
        <charset val="128"/>
      </rPr>
      <t>は、下の欄に年齢と収入・所得</t>
    </r>
    <rPh sb="2" eb="4">
      <t>セタイ</t>
    </rPh>
    <rPh sb="5" eb="6">
      <t>ナカ</t>
    </rPh>
    <rPh sb="7" eb="9">
      <t>コクミン</t>
    </rPh>
    <rPh sb="9" eb="11">
      <t>ケンコウ</t>
    </rPh>
    <rPh sb="11" eb="13">
      <t>ホケン</t>
    </rPh>
    <rPh sb="15" eb="17">
      <t>コウキ</t>
    </rPh>
    <rPh sb="17" eb="20">
      <t>コウレイシャ</t>
    </rPh>
    <rPh sb="20" eb="22">
      <t>イリョウ</t>
    </rPh>
    <rPh sb="22" eb="24">
      <t>セイド</t>
    </rPh>
    <rPh sb="25" eb="26">
      <t>ウツ</t>
    </rPh>
    <rPh sb="28" eb="29">
      <t>カタ</t>
    </rPh>
    <rPh sb="32" eb="34">
      <t>バアイ</t>
    </rPh>
    <rPh sb="36" eb="37">
      <t>シタ</t>
    </rPh>
    <rPh sb="38" eb="39">
      <t>ラン</t>
    </rPh>
    <rPh sb="40" eb="42">
      <t>ネンレイ</t>
    </rPh>
    <phoneticPr fontId="2"/>
  </si>
  <si>
    <r>
      <t>② 世帯主が</t>
    </r>
    <r>
      <rPr>
        <b/>
        <sz val="10"/>
        <color indexed="12"/>
        <rFont val="ＭＳ ゴシック"/>
        <family val="3"/>
        <charset val="128"/>
      </rPr>
      <t>国民健康保険被保険者（加入者）で無い場合</t>
    </r>
    <r>
      <rPr>
        <b/>
        <sz val="10"/>
        <rFont val="ＭＳ ゴシック"/>
        <family val="3"/>
        <charset val="128"/>
      </rPr>
      <t>は、下の欄に年齢と収入・所得情報等を入力して</t>
    </r>
    <rPh sb="2" eb="5">
      <t>セタイヌシ</t>
    </rPh>
    <rPh sb="6" eb="8">
      <t>コクミン</t>
    </rPh>
    <rPh sb="8" eb="10">
      <t>ケンコウ</t>
    </rPh>
    <rPh sb="10" eb="12">
      <t>ホケン</t>
    </rPh>
    <rPh sb="12" eb="13">
      <t>ヒ</t>
    </rPh>
    <rPh sb="13" eb="16">
      <t>ホケンシャ</t>
    </rPh>
    <rPh sb="17" eb="20">
      <t>カニュウシャ</t>
    </rPh>
    <rPh sb="22" eb="23">
      <t>ナ</t>
    </rPh>
    <rPh sb="24" eb="26">
      <t>バアイ</t>
    </rPh>
    <rPh sb="28" eb="29">
      <t>シタ</t>
    </rPh>
    <rPh sb="30" eb="31">
      <t>ラン</t>
    </rPh>
    <rPh sb="32" eb="34">
      <t>ネンレイ</t>
    </rPh>
    <rPh sb="35" eb="37">
      <t>シュウニュウ</t>
    </rPh>
    <rPh sb="38" eb="40">
      <t>ショトク</t>
    </rPh>
    <rPh sb="40" eb="42">
      <t>ジョウホウ</t>
    </rPh>
    <rPh sb="42" eb="43">
      <t>トウ</t>
    </rPh>
    <rPh sb="44" eb="46">
      <t>ニュウリョク</t>
    </rPh>
    <phoneticPr fontId="2"/>
  </si>
  <si>
    <t xml:space="preserve"> ください。</t>
    <phoneticPr fontId="2"/>
  </si>
  <si>
    <t xml:space="preserve"> 情報を入力してください。</t>
    <phoneticPr fontId="2"/>
  </si>
  <si>
    <t>　④その他所得は、営業、農業、その他の事業、不動産等の前年の収入金額から諸経費を控除した後の金額を入力してください。</t>
    <rPh sb="4" eb="5">
      <t>タ</t>
    </rPh>
    <rPh sb="5" eb="7">
      <t>ショトク</t>
    </rPh>
    <rPh sb="9" eb="11">
      <t>エイギョウ</t>
    </rPh>
    <rPh sb="12" eb="14">
      <t>ノウギョウ</t>
    </rPh>
    <rPh sb="17" eb="18">
      <t>タ</t>
    </rPh>
    <rPh sb="19" eb="21">
      <t>ジギョウ</t>
    </rPh>
    <rPh sb="22" eb="26">
      <t>フドウサントウ</t>
    </rPh>
    <rPh sb="32" eb="34">
      <t>キンガク</t>
    </rPh>
    <rPh sb="49" eb="51">
      <t>ニュウリョク</t>
    </rPh>
    <phoneticPr fontId="2"/>
  </si>
  <si>
    <t>（国民健康保険税試算シートに入力いただいた内容）</t>
    <rPh sb="1" eb="3">
      <t>コクミン</t>
    </rPh>
    <rPh sb="3" eb="5">
      <t>ケンコウ</t>
    </rPh>
    <rPh sb="5" eb="7">
      <t>ホケン</t>
    </rPh>
    <rPh sb="7" eb="8">
      <t>ゼイ</t>
    </rPh>
    <rPh sb="8" eb="10">
      <t>シサン</t>
    </rPh>
    <rPh sb="14" eb="16">
      <t>ニュウリョク</t>
    </rPh>
    <rPh sb="21" eb="23">
      <t>ナイヨウ</t>
    </rPh>
    <phoneticPr fontId="2"/>
  </si>
  <si>
    <t>（国民健康保険税試算結果）</t>
    <rPh sb="1" eb="3">
      <t>コクミン</t>
    </rPh>
    <rPh sb="3" eb="5">
      <t>ケンコウ</t>
    </rPh>
    <rPh sb="5" eb="7">
      <t>ホケン</t>
    </rPh>
    <rPh sb="7" eb="8">
      <t>ゼイ</t>
    </rPh>
    <rPh sb="8" eb="10">
      <t>シサン</t>
    </rPh>
    <rPh sb="10" eb="11">
      <t>ムスビ</t>
    </rPh>
    <rPh sb="11" eb="12">
      <t>ハタシ</t>
    </rPh>
    <phoneticPr fontId="2"/>
  </si>
  <si>
    <t>被保険者数</t>
    <rPh sb="0" eb="4">
      <t>ヒホケンシャ</t>
    </rPh>
    <rPh sb="4" eb="5">
      <t>スウ</t>
    </rPh>
    <phoneticPr fontId="2"/>
  </si>
  <si>
    <t xml:space="preserve">
国民健康
保険被保険者
（加入者）</t>
    <rPh sb="1" eb="3">
      <t>コクミン</t>
    </rPh>
    <rPh sb="3" eb="5">
      <t>ケンコウ</t>
    </rPh>
    <rPh sb="6" eb="8">
      <t>ホケン</t>
    </rPh>
    <rPh sb="8" eb="12">
      <t>ヒホケンシャ</t>
    </rPh>
    <rPh sb="14" eb="16">
      <t>カニュウ</t>
    </rPh>
    <rPh sb="16" eb="17">
      <t>シャ</t>
    </rPh>
    <phoneticPr fontId="2"/>
  </si>
  <si>
    <t>（１月あたりの金額：</t>
    <phoneticPr fontId="2"/>
  </si>
  <si>
    <t>計算できるのは国民健康保険被保険者（加入者）が７人までの場合です。</t>
    <rPh sb="0" eb="2">
      <t>ケイサン</t>
    </rPh>
    <rPh sb="7" eb="9">
      <t>コクミン</t>
    </rPh>
    <rPh sb="9" eb="11">
      <t>ケンコウ</t>
    </rPh>
    <rPh sb="11" eb="13">
      <t>ホケン</t>
    </rPh>
    <rPh sb="13" eb="17">
      <t>ヒホケンシャ</t>
    </rPh>
    <rPh sb="24" eb="25">
      <t>ニン</t>
    </rPh>
    <rPh sb="28" eb="30">
      <t>バアイ</t>
    </rPh>
    <phoneticPr fontId="2"/>
  </si>
  <si>
    <t>　●　国民健康保険税は、国民健康保険被保険者(加入者)が属する世帯の世帯主に課税されます。</t>
    <rPh sb="3" eb="5">
      <t>コクミン</t>
    </rPh>
    <rPh sb="5" eb="7">
      <t>ケンコウ</t>
    </rPh>
    <rPh sb="7" eb="9">
      <t>ホケン</t>
    </rPh>
    <rPh sb="9" eb="10">
      <t>ゼイ</t>
    </rPh>
    <rPh sb="12" eb="14">
      <t>コクミン</t>
    </rPh>
    <rPh sb="14" eb="16">
      <t>ケンコウ</t>
    </rPh>
    <rPh sb="16" eb="18">
      <t>ホケン</t>
    </rPh>
    <rPh sb="18" eb="19">
      <t>ヒ</t>
    </rPh>
    <rPh sb="19" eb="22">
      <t>ホケンシャ</t>
    </rPh>
    <rPh sb="23" eb="26">
      <t>カニュウシャ</t>
    </rPh>
    <rPh sb="28" eb="29">
      <t>ゾク</t>
    </rPh>
    <rPh sb="31" eb="33">
      <t>セタイ</t>
    </rPh>
    <rPh sb="34" eb="37">
      <t>セタイヌシ</t>
    </rPh>
    <rPh sb="38" eb="40">
      <t>カゼイ</t>
    </rPh>
    <phoneticPr fontId="2"/>
  </si>
  <si>
    <t>分離課税の所得や専従者控除がある場合、国民健康保険被保険者（加入者）それぞれの加入月が異なるなど</t>
    <rPh sb="0" eb="2">
      <t>ブンリ</t>
    </rPh>
    <rPh sb="2" eb="4">
      <t>カゼイ</t>
    </rPh>
    <rPh sb="5" eb="7">
      <t>ショトク</t>
    </rPh>
    <rPh sb="8" eb="11">
      <t>センジュウシャ</t>
    </rPh>
    <rPh sb="11" eb="13">
      <t>コウジョ</t>
    </rPh>
    <rPh sb="16" eb="18">
      <t>バアイ</t>
    </rPh>
    <rPh sb="19" eb="21">
      <t>コクミン</t>
    </rPh>
    <rPh sb="21" eb="23">
      <t>ケンコウ</t>
    </rPh>
    <rPh sb="23" eb="25">
      <t>ホケン</t>
    </rPh>
    <rPh sb="25" eb="29">
      <t>ヒホケンシャ</t>
    </rPh>
    <rPh sb="30" eb="33">
      <t>カニュウシャ</t>
    </rPh>
    <rPh sb="39" eb="41">
      <t>カニュウ</t>
    </rPh>
    <rPh sb="41" eb="42">
      <t>ツキ</t>
    </rPh>
    <rPh sb="43" eb="44">
      <t>コト</t>
    </rPh>
    <phoneticPr fontId="2"/>
  </si>
  <si>
    <t>特殊な場合は税務課国民健康保険税担当までお問い合わせください。</t>
    <rPh sb="11" eb="13">
      <t>ケンコウ</t>
    </rPh>
    <rPh sb="13" eb="15">
      <t>ホケン</t>
    </rPh>
    <rPh sb="21" eb="22">
      <t>ト</t>
    </rPh>
    <rPh sb="23" eb="24">
      <t>ア</t>
    </rPh>
    <phoneticPr fontId="2"/>
  </si>
  <si>
    <t>国民健康
保険被保険者
（加入者）</t>
    <rPh sb="0" eb="2">
      <t>コクミン</t>
    </rPh>
    <rPh sb="2" eb="4">
      <t>ケンコウ</t>
    </rPh>
    <rPh sb="5" eb="7">
      <t>ホケン</t>
    </rPh>
    <rPh sb="7" eb="11">
      <t>ヒホケンシャ</t>
    </rPh>
    <rPh sb="13" eb="15">
      <t>カニュウ</t>
    </rPh>
    <rPh sb="15" eb="16">
      <t>シャ</t>
    </rPh>
    <phoneticPr fontId="2"/>
  </si>
  <si>
    <t>① 国民健康保険被保険者（加入者）の年齢と収入・所得状況を入力してください。</t>
    <rPh sb="2" eb="4">
      <t>コクミン</t>
    </rPh>
    <rPh sb="4" eb="6">
      <t>ケンコウ</t>
    </rPh>
    <rPh sb="6" eb="8">
      <t>ホケン</t>
    </rPh>
    <rPh sb="8" eb="12">
      <t>ヒホケンシャ</t>
    </rPh>
    <rPh sb="13" eb="16">
      <t>カニュウシャ</t>
    </rPh>
    <rPh sb="18" eb="20">
      <t>ネンレイ</t>
    </rPh>
    <rPh sb="21" eb="23">
      <t>シュウニュウ</t>
    </rPh>
    <rPh sb="24" eb="26">
      <t>ショトク</t>
    </rPh>
    <rPh sb="26" eb="28">
      <t>ジョウキョウ</t>
    </rPh>
    <rPh sb="29" eb="31">
      <t>ニュウリョク</t>
    </rPh>
    <phoneticPr fontId="2"/>
  </si>
  <si>
    <t>　　軽減世帯とは、世帯主及び世帯の国民健康保険被保険者（国民健康保険から後期高齢者医療制度へ移った人も含む）の前</t>
    <rPh sb="2" eb="4">
      <t>ケイゲン</t>
    </rPh>
    <rPh sb="4" eb="6">
      <t>セタイ</t>
    </rPh>
    <rPh sb="9" eb="12">
      <t>セタイヌシ</t>
    </rPh>
    <rPh sb="12" eb="13">
      <t>オヨ</t>
    </rPh>
    <rPh sb="14" eb="16">
      <t>セタイ</t>
    </rPh>
    <rPh sb="17" eb="19">
      <t>コクミン</t>
    </rPh>
    <rPh sb="19" eb="21">
      <t>ケンコウ</t>
    </rPh>
    <rPh sb="21" eb="23">
      <t>ホケン</t>
    </rPh>
    <rPh sb="23" eb="27">
      <t>ヒホケンシャ</t>
    </rPh>
    <rPh sb="28" eb="30">
      <t>コクミン</t>
    </rPh>
    <rPh sb="30" eb="32">
      <t>ケンコウ</t>
    </rPh>
    <rPh sb="32" eb="34">
      <t>ホケン</t>
    </rPh>
    <rPh sb="51" eb="52">
      <t>フク</t>
    </rPh>
    <rPh sb="55" eb="56">
      <t>マエ</t>
    </rPh>
    <phoneticPr fontId="2"/>
  </si>
  <si>
    <t>　年所得が一定額以下の場合は、所得に応じて国民健康保険税の均等割額及び平等割額が(７割・５割・２割)に軽減される世</t>
    <phoneticPr fontId="2"/>
  </si>
  <si>
    <t>×</t>
    <phoneticPr fontId="2"/>
  </si>
  <si>
    <t>×</t>
    <phoneticPr fontId="2"/>
  </si>
  <si>
    <t>後期高齢者医療支援分</t>
    <rPh sb="0" eb="2">
      <t>コウキ</t>
    </rPh>
    <rPh sb="2" eb="5">
      <t>コウレイシャ</t>
    </rPh>
    <rPh sb="5" eb="7">
      <t>イリョウ</t>
    </rPh>
    <rPh sb="7" eb="9">
      <t>シエン</t>
    </rPh>
    <rPh sb="9" eb="10">
      <t>ブン</t>
    </rPh>
    <phoneticPr fontId="2"/>
  </si>
  <si>
    <t>所得割</t>
    <rPh sb="0" eb="2">
      <t>ショトク</t>
    </rPh>
    <rPh sb="2" eb="3">
      <t>ワリ</t>
    </rPh>
    <phoneticPr fontId="2"/>
  </si>
  <si>
    <t>支援分</t>
    <rPh sb="0" eb="2">
      <t>シエン</t>
    </rPh>
    <rPh sb="2" eb="3">
      <t>ブン</t>
    </rPh>
    <phoneticPr fontId="2"/>
  </si>
  <si>
    <t>税率入力表</t>
    <rPh sb="0" eb="2">
      <t>ゼイリツ</t>
    </rPh>
    <rPh sb="2" eb="4">
      <t>ニュウリョク</t>
    </rPh>
    <rPh sb="4" eb="5">
      <t>ヒョウ</t>
    </rPh>
    <phoneticPr fontId="2"/>
  </si>
  <si>
    <t>課税限度額入力表</t>
    <rPh sb="0" eb="2">
      <t>カゼイ</t>
    </rPh>
    <rPh sb="2" eb="4">
      <t>ゲンド</t>
    </rPh>
    <rPh sb="4" eb="5">
      <t>ガク</t>
    </rPh>
    <rPh sb="5" eb="7">
      <t>ニュウリョク</t>
    </rPh>
    <rPh sb="7" eb="8">
      <t>ヒョウ</t>
    </rPh>
    <phoneticPr fontId="2"/>
  </si>
  <si>
    <t>軽減判定基準額</t>
    <rPh sb="0" eb="2">
      <t>ケイゲン</t>
    </rPh>
    <rPh sb="2" eb="4">
      <t>ハンテイ</t>
    </rPh>
    <rPh sb="4" eb="6">
      <t>キジュン</t>
    </rPh>
    <rPh sb="6" eb="7">
      <t>ガク</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</si>
  <si>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</si>
  <si>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</si>
  <si>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</si>
  <si>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控除</t>
    <rPh sb="0" eb="2">
      <t>コウジョ</t>
    </rPh>
    <phoneticPr fontId="2"/>
  </si>
  <si>
    <t>基礎控除額</t>
    <rPh sb="0" eb="2">
      <t>キソ</t>
    </rPh>
    <rPh sb="2" eb="4">
      <t>コウジョ</t>
    </rPh>
    <rPh sb="4" eb="5">
      <t>ガク</t>
    </rPh>
    <phoneticPr fontId="2"/>
  </si>
  <si>
    <t>老齢特別控除</t>
    <rPh sb="0" eb="2">
      <t>ロウレイ</t>
    </rPh>
    <rPh sb="2" eb="4">
      <t>トクベツ</t>
    </rPh>
    <rPh sb="4" eb="6">
      <t>コウジョ</t>
    </rPh>
    <phoneticPr fontId="2"/>
  </si>
  <si>
    <r>
      <t>③</t>
    </r>
    <r>
      <rPr>
        <sz val="10"/>
        <rFont val="ＭＳ Ｐ明朝"/>
        <family val="1"/>
        <charset val="128"/>
      </rPr>
      <t xml:space="preserve"> </t>
    </r>
    <r>
      <rPr>
        <sz val="10"/>
        <rFont val="ＭＳ Ｐゴシック"/>
        <family val="3"/>
        <charset val="128"/>
      </rPr>
      <t>(</t>
    </r>
    <r>
      <rPr>
        <sz val="10"/>
        <rFont val="ＭＳ Ｐ明朝"/>
        <family val="1"/>
        <charset val="128"/>
      </rPr>
      <t>①-②</t>
    </r>
    <r>
      <rPr>
        <sz val="10"/>
        <rFont val="ＭＳ Ｐゴシック"/>
        <family val="3"/>
        <charset val="128"/>
      </rPr>
      <t xml:space="preserve">)
</t>
    </r>
    <r>
      <rPr>
        <sz val="10"/>
        <rFont val="ＭＳ Ｐ明朝"/>
        <family val="1"/>
        <charset val="128"/>
      </rPr>
      <t>課税所得</t>
    </r>
    <phoneticPr fontId="2"/>
  </si>
  <si>
    <r>
      <t xml:space="preserve">① </t>
    </r>
    <r>
      <rPr>
        <sz val="10"/>
        <rFont val="ＭＳ Ｐ明朝"/>
        <family val="1"/>
        <charset val="128"/>
      </rPr>
      <t>課税
総所得金額</t>
    </r>
    <phoneticPr fontId="2"/>
  </si>
  <si>
    <r>
      <t xml:space="preserve">② </t>
    </r>
    <r>
      <rPr>
        <sz val="10"/>
        <rFont val="ＭＳ Ｐ明朝"/>
        <family val="1"/>
        <charset val="128"/>
      </rPr>
      <t>控除額</t>
    </r>
    <phoneticPr fontId="2"/>
  </si>
  <si>
    <r>
      <t xml:space="preserve">合計
</t>
    </r>
    <r>
      <rPr>
        <sz val="10"/>
        <rFont val="ＭＳ Ｐ明朝"/>
        <family val="1"/>
        <charset val="128"/>
      </rPr>
      <t>(</t>
    </r>
    <r>
      <rPr>
        <sz val="10"/>
        <rFont val="ＭＳ Ｐゴシック"/>
        <family val="3"/>
        <charset val="128"/>
      </rPr>
      <t>④+⑤+⑥</t>
    </r>
    <r>
      <rPr>
        <sz val="10"/>
        <rFont val="ＭＳ Ｐ明朝"/>
        <family val="1"/>
        <charset val="128"/>
      </rPr>
      <t>)</t>
    </r>
    <phoneticPr fontId="2"/>
  </si>
  <si>
    <r>
      <t xml:space="preserve">⑤ </t>
    </r>
    <r>
      <rPr>
        <sz val="10"/>
        <rFont val="ＭＳ Ｐ明朝"/>
        <family val="1"/>
        <charset val="128"/>
      </rPr>
      <t>均等割</t>
    </r>
    <phoneticPr fontId="2"/>
  </si>
  <si>
    <r>
      <t xml:space="preserve">⑥ </t>
    </r>
    <r>
      <rPr>
        <sz val="10"/>
        <rFont val="ＭＳ Ｐ明朝"/>
        <family val="1"/>
        <charset val="128"/>
      </rPr>
      <t>平等割</t>
    </r>
    <phoneticPr fontId="2"/>
  </si>
  <si>
    <t>年度（西暦）</t>
    <rPh sb="0" eb="2">
      <t>ネンド</t>
    </rPh>
    <rPh sb="3" eb="5">
      <t>セイレキ</t>
    </rPh>
    <phoneticPr fontId="2"/>
  </si>
  <si>
    <t>年度</t>
    <rPh sb="0" eb="1">
      <t>ネン</t>
    </rPh>
    <rPh sb="1" eb="2">
      <t>ド</t>
    </rPh>
    <phoneticPr fontId="2"/>
  </si>
  <si>
    <t>※65歳の基準</t>
    <rPh sb="3" eb="4">
      <t>サイ</t>
    </rPh>
    <rPh sb="5" eb="7">
      <t>キジュン</t>
    </rPh>
    <phoneticPr fontId="2"/>
  </si>
  <si>
    <t>⇒</t>
    <phoneticPr fontId="2"/>
  </si>
  <si>
    <t>年度表示（和暦）</t>
    <rPh sb="0" eb="2">
      <t>ネンド</t>
    </rPh>
    <rPh sb="2" eb="4">
      <t>ヒョウジ</t>
    </rPh>
    <rPh sb="5" eb="7">
      <t>ワレキ</t>
    </rPh>
    <phoneticPr fontId="2"/>
  </si>
  <si>
    <t>年</t>
    <rPh sb="0" eb="1">
      <t>ネン</t>
    </rPh>
    <phoneticPr fontId="2"/>
  </si>
  <si>
    <r>
      <t xml:space="preserve">国保税限度額
</t>
    </r>
    <r>
      <rPr>
        <sz val="8"/>
        <rFont val="ＭＳ Ｐゴシック"/>
        <family val="3"/>
        <charset val="128"/>
      </rPr>
      <t>（医療分＋支援分＋介護分）</t>
    </r>
    <rPh sb="0" eb="2">
      <t>コクホ</t>
    </rPh>
    <rPh sb="2" eb="3">
      <t>ゼイ</t>
    </rPh>
    <rPh sb="3" eb="5">
      <t>ゲンド</t>
    </rPh>
    <rPh sb="5" eb="6">
      <t>ガク</t>
    </rPh>
    <rPh sb="8" eb="10">
      <t>イリョウ</t>
    </rPh>
    <rPh sb="10" eb="11">
      <t>ブン</t>
    </rPh>
    <rPh sb="12" eb="14">
      <t>シエン</t>
    </rPh>
    <rPh sb="14" eb="15">
      <t>ブン</t>
    </rPh>
    <rPh sb="16" eb="18">
      <t>カイゴ</t>
    </rPh>
    <rPh sb="18" eb="19">
      <t>ブン</t>
    </rPh>
    <phoneticPr fontId="2"/>
  </si>
  <si>
    <r>
      <t>③</t>
    </r>
    <r>
      <rPr>
        <sz val="9"/>
        <rFont val="ＭＳ Ｐゴシック"/>
        <family val="3"/>
        <charset val="128"/>
      </rPr>
      <t xml:space="preserve">
</t>
    </r>
    <r>
      <rPr>
        <sz val="9"/>
        <rFont val="ＭＳ ゴシック"/>
        <family val="3"/>
        <charset val="128"/>
      </rPr>
      <t>年金収入</t>
    </r>
    <r>
      <rPr>
        <sz val="6"/>
        <rFont val="ＭＳ Ｐゴシック"/>
        <family val="3"/>
        <charset val="128"/>
      </rPr>
      <t xml:space="preserve">
</t>
    </r>
    <rPh sb="2" eb="4">
      <t>ネンキン</t>
    </rPh>
    <rPh sb="4" eb="6">
      <t>シュウニュウ</t>
    </rPh>
    <phoneticPr fontId="2"/>
  </si>
  <si>
    <r>
      <t>あくまでも試算ですので実際の税額と異なる場合があります</t>
    </r>
    <r>
      <rPr>
        <b/>
        <sz val="10"/>
        <color indexed="10"/>
        <rFont val="ＭＳ ゴシック"/>
        <family val="3"/>
        <charset val="128"/>
      </rPr>
      <t>。</t>
    </r>
    <rPh sb="5" eb="7">
      <t>シサン</t>
    </rPh>
    <rPh sb="11" eb="13">
      <t>ジッサイ</t>
    </rPh>
    <rPh sb="14" eb="16">
      <t>ゼイガク</t>
    </rPh>
    <rPh sb="17" eb="18">
      <t>コト</t>
    </rPh>
    <rPh sb="20" eb="22">
      <t>バアイ</t>
    </rPh>
    <phoneticPr fontId="2"/>
  </si>
  <si>
    <t>翌年表示</t>
    <rPh sb="0" eb="2">
      <t>ヨクネン</t>
    </rPh>
    <rPh sb="2" eb="4">
      <t>ヒョウジ</t>
    </rPh>
    <phoneticPr fontId="2"/>
  </si>
  <si>
    <t>前年表示</t>
    <rPh sb="0" eb="2">
      <t>ゼンネン</t>
    </rPh>
    <rPh sb="2" eb="4">
      <t>ヒョウジ</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</si>
  <si>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</si>
  <si>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</si>
  <si>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</si>
  <si>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</si>
  <si>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</si>
  <si>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税率（医療）</t>
    <rPh sb="0" eb="2">
      <t>ゼイリツ</t>
    </rPh>
    <rPh sb="3" eb="5">
      <t>イリョウ</t>
    </rPh>
    <phoneticPr fontId="2"/>
  </si>
  <si>
    <t>税率（支援）</t>
    <rPh sb="0" eb="2">
      <t>ゼイリツ</t>
    </rPh>
    <rPh sb="3" eb="5">
      <t>シエン</t>
    </rPh>
    <phoneticPr fontId="2"/>
  </si>
  <si>
    <t>税率（介護）</t>
    <rPh sb="0" eb="2">
      <t>ゼイリツ</t>
    </rPh>
    <rPh sb="3" eb="5">
      <t>カイゴ</t>
    </rPh>
    <phoneticPr fontId="2"/>
  </si>
  <si>
    <t>老齢</t>
    <rPh sb="0" eb="2">
      <t>ロウレイ</t>
    </rPh>
    <phoneticPr fontId="2"/>
  </si>
  <si>
    <t>基礎</t>
    <rPh sb="0" eb="2">
      <t>キソ</t>
    </rPh>
    <phoneticPr fontId="2"/>
  </si>
  <si>
    <t>平成31</t>
    <rPh sb="0" eb="2">
      <t>ヘイセイ</t>
    </rPh>
    <phoneticPr fontId="2"/>
  </si>
  <si>
    <t>※毎年度、税額等が決定し次第入力すること。</t>
    <rPh sb="1" eb="4">
      <t>マイネンド</t>
    </rPh>
    <rPh sb="5" eb="7">
      <t>ゼイガク</t>
    </rPh>
    <rPh sb="7" eb="8">
      <t>トウ</t>
    </rPh>
    <rPh sb="9" eb="11">
      <t>ケッテイ</t>
    </rPh>
    <rPh sb="12" eb="14">
      <t>シダイ</t>
    </rPh>
    <rPh sb="14" eb="16">
      <t>ニュウリョク</t>
    </rPh>
    <phoneticPr fontId="2"/>
  </si>
  <si>
    <t>【注意】年度ごとに修正すること！</t>
    <rPh sb="1" eb="3">
      <t>チュウイ</t>
    </rPh>
    <rPh sb="4" eb="6">
      <t>ネンド</t>
    </rPh>
    <rPh sb="9" eb="11">
      <t>シュウセイ</t>
    </rPh>
    <phoneticPr fontId="2"/>
  </si>
  <si>
    <t>試算年度</t>
    <rPh sb="0" eb="2">
      <t>シサン</t>
    </rPh>
    <rPh sb="2" eb="4">
      <t>ネンド</t>
    </rPh>
    <phoneticPr fontId="2"/>
  </si>
  <si>
    <t>年度</t>
    <rPh sb="0" eb="2">
      <t>ネンド</t>
    </rPh>
    <phoneticPr fontId="2"/>
  </si>
  <si>
    <t>※年度を指定してください。</t>
    <rPh sb="1" eb="3">
      <t>ネンド</t>
    </rPh>
    <rPh sb="4" eb="6">
      <t>シテイ</t>
    </rPh>
    <phoneticPr fontId="2"/>
  </si>
  <si>
    <r>
      <t xml:space="preserve">後期高齢者医療支援分
</t>
    </r>
    <r>
      <rPr>
        <b/>
        <sz val="8"/>
        <rFont val="ＭＳ ゴシック"/>
        <family val="3"/>
        <charset val="128"/>
      </rPr>
      <t>【対象：0歳～74歳】</t>
    </r>
    <rPh sb="0" eb="2">
      <t>コウキ</t>
    </rPh>
    <rPh sb="2" eb="5">
      <t>コウレイシャ</t>
    </rPh>
    <rPh sb="5" eb="7">
      <t>イリョウ</t>
    </rPh>
    <rPh sb="7" eb="9">
      <t>シエン</t>
    </rPh>
    <rPh sb="9" eb="10">
      <t>ブン</t>
    </rPh>
    <rPh sb="12" eb="14">
      <t>タイショウ</t>
    </rPh>
    <rPh sb="16" eb="17">
      <t>サイ</t>
    </rPh>
    <rPh sb="20" eb="21">
      <t>サイ</t>
    </rPh>
    <phoneticPr fontId="2"/>
  </si>
  <si>
    <r>
      <t xml:space="preserve">医療分
</t>
    </r>
    <r>
      <rPr>
        <b/>
        <sz val="8"/>
        <rFont val="ＭＳ ゴシック"/>
        <family val="3"/>
        <charset val="128"/>
      </rPr>
      <t>【対象：0歳～74歳】</t>
    </r>
    <rPh sb="0" eb="2">
      <t>イリョウ</t>
    </rPh>
    <rPh sb="2" eb="3">
      <t>ブン</t>
    </rPh>
    <rPh sb="5" eb="7">
      <t>タイショウ</t>
    </rPh>
    <rPh sb="9" eb="10">
      <t>サイ</t>
    </rPh>
    <rPh sb="13" eb="14">
      <t>サイ</t>
    </rPh>
    <phoneticPr fontId="2"/>
  </si>
  <si>
    <r>
      <t xml:space="preserve">介護分
</t>
    </r>
    <r>
      <rPr>
        <b/>
        <sz val="8"/>
        <rFont val="ＭＳ ゴシック"/>
        <family val="3"/>
        <charset val="128"/>
      </rPr>
      <t>【対象：40歳～64歳】</t>
    </r>
    <rPh sb="0" eb="2">
      <t>カイゴ</t>
    </rPh>
    <rPh sb="2" eb="3">
      <t>ブン</t>
    </rPh>
    <rPh sb="5" eb="7">
      <t>タイショウ</t>
    </rPh>
    <rPh sb="10" eb="11">
      <t>サイ</t>
    </rPh>
    <rPh sb="14" eb="15">
      <t>サイ</t>
    </rPh>
    <phoneticPr fontId="2"/>
  </si>
  <si>
    <t>令和２</t>
    <rPh sb="0" eb="2">
      <t>レイワ</t>
    </rPh>
    <phoneticPr fontId="2"/>
  </si>
  <si>
    <t>令和３</t>
    <rPh sb="0" eb="2">
      <t>レイワ</t>
    </rPh>
    <phoneticPr fontId="2"/>
  </si>
  <si>
    <t>令和４</t>
    <rPh sb="0" eb="2">
      <t>レイワ</t>
    </rPh>
    <phoneticPr fontId="2"/>
  </si>
  <si>
    <t>令和５</t>
    <rPh sb="0" eb="2">
      <t>レイワ</t>
    </rPh>
    <phoneticPr fontId="2"/>
  </si>
  <si>
    <t>令和６</t>
    <rPh sb="0" eb="2">
      <t>レイワ</t>
    </rPh>
    <phoneticPr fontId="2"/>
  </si>
  <si>
    <t>令和７</t>
    <rPh sb="0" eb="2">
      <t>レイワ</t>
    </rPh>
    <phoneticPr fontId="2"/>
  </si>
  <si>
    <t>⇒R3年度から</t>
    <rPh sb="3" eb="5">
      <t>ネンド</t>
    </rPh>
    <phoneticPr fontId="2"/>
  </si>
  <si>
    <t>【改正】
軽減判定所得の算定において基礎控除額相当分の基準額を43万円に引き上げるとともに、被保険者のうち一定の給与所得者と公的年金等の支給を受ける者の数の合計数から１を減じた数に10万円を乗じて得た金額を加える。</t>
    <rPh sb="1" eb="3">
      <t>カイセイ</t>
    </rPh>
    <rPh sb="5" eb="7">
      <t>ケイゲン</t>
    </rPh>
    <rPh sb="7" eb="9">
      <t>ハンテイ</t>
    </rPh>
    <rPh sb="9" eb="11">
      <t>ショトク</t>
    </rPh>
    <rPh sb="12" eb="14">
      <t>サンテイ</t>
    </rPh>
    <rPh sb="18" eb="20">
      <t>キソ</t>
    </rPh>
    <rPh sb="20" eb="22">
      <t>コウジョ</t>
    </rPh>
    <rPh sb="22" eb="23">
      <t>ガク</t>
    </rPh>
    <rPh sb="23" eb="25">
      <t>ソウトウ</t>
    </rPh>
    <rPh sb="25" eb="26">
      <t>ブン</t>
    </rPh>
    <rPh sb="27" eb="29">
      <t>キジュン</t>
    </rPh>
    <rPh sb="29" eb="30">
      <t>ガク</t>
    </rPh>
    <rPh sb="33" eb="35">
      <t>マンエン</t>
    </rPh>
    <rPh sb="36" eb="37">
      <t>ヒ</t>
    </rPh>
    <rPh sb="38" eb="39">
      <t>ア</t>
    </rPh>
    <rPh sb="46" eb="50">
      <t>ヒホケンシャ</t>
    </rPh>
    <rPh sb="53" eb="55">
      <t>イッテイ</t>
    </rPh>
    <rPh sb="56" eb="58">
      <t>キュウヨ</t>
    </rPh>
    <rPh sb="58" eb="60">
      <t>ショトク</t>
    </rPh>
    <rPh sb="60" eb="61">
      <t>シャ</t>
    </rPh>
    <rPh sb="62" eb="64">
      <t>コウテキ</t>
    </rPh>
    <rPh sb="64" eb="66">
      <t>ネンキン</t>
    </rPh>
    <rPh sb="66" eb="67">
      <t>トウ</t>
    </rPh>
    <rPh sb="68" eb="70">
      <t>シキュウ</t>
    </rPh>
    <rPh sb="71" eb="72">
      <t>ウ</t>
    </rPh>
    <rPh sb="74" eb="75">
      <t>モノ</t>
    </rPh>
    <rPh sb="76" eb="77">
      <t>カズ</t>
    </rPh>
    <rPh sb="78" eb="80">
      <t>ゴウケイ</t>
    </rPh>
    <rPh sb="80" eb="81">
      <t>スウ</t>
    </rPh>
    <rPh sb="85" eb="86">
      <t>ゲン</t>
    </rPh>
    <rPh sb="88" eb="89">
      <t>カズ</t>
    </rPh>
    <rPh sb="92" eb="94">
      <t>マンエン</t>
    </rPh>
    <rPh sb="95" eb="96">
      <t>ジョウ</t>
    </rPh>
    <rPh sb="98" eb="99">
      <t>エ</t>
    </rPh>
    <rPh sb="100" eb="102">
      <t>キンガク</t>
    </rPh>
    <rPh sb="103" eb="104">
      <t>クワ</t>
    </rPh>
    <phoneticPr fontId="2"/>
  </si>
  <si>
    <t>注意：税率改正・所得の変更等により、税額が変わる可能性があります。</t>
    <rPh sb="0" eb="2">
      <t>チュウイ</t>
    </rPh>
    <rPh sb="3" eb="5">
      <t>ゼイリツ</t>
    </rPh>
    <rPh sb="5" eb="7">
      <t>カイセイ</t>
    </rPh>
    <rPh sb="8" eb="10">
      <t>ショトク</t>
    </rPh>
    <rPh sb="11" eb="13">
      <t>ヘンコウ</t>
    </rPh>
    <rPh sb="13" eb="14">
      <t>トウ</t>
    </rPh>
    <rPh sb="18" eb="20">
      <t>ゼイガク</t>
    </rPh>
    <rPh sb="20" eb="21">
      <t>サンガク</t>
    </rPh>
    <rPh sb="21" eb="22">
      <t>カ</t>
    </rPh>
    <rPh sb="24" eb="27">
      <t>カノウセイ</t>
    </rPh>
    <phoneticPr fontId="2"/>
  </si>
  <si>
    <t>以降</t>
  </si>
  <si>
    <t>※現在、R02～R07年度に対応中</t>
    <rPh sb="1" eb="3">
      <t>ゲンザイ</t>
    </rPh>
    <rPh sb="11" eb="13">
      <t>ネンド</t>
    </rPh>
    <rPh sb="14" eb="16">
      <t>タイオウ</t>
    </rPh>
    <rPh sb="16" eb="17">
      <t>ナカ</t>
    </rPh>
    <phoneticPr fontId="2"/>
  </si>
  <si>
    <t>　特定世帯とは、国民健康保険から後期高齢者医療制度へ移った人が世帯にいて、その結果、世帯内の国民健康保険被保険者</t>
    <rPh sb="1" eb="3">
      <t>トクテイ</t>
    </rPh>
    <rPh sb="3" eb="5">
      <t>セタイ</t>
    </rPh>
    <rPh sb="8" eb="10">
      <t>コクミン</t>
    </rPh>
    <rPh sb="10" eb="12">
      <t>ケンコウ</t>
    </rPh>
    <rPh sb="12" eb="14">
      <t>ホケン</t>
    </rPh>
    <rPh sb="16" eb="18">
      <t>コウキ</t>
    </rPh>
    <rPh sb="18" eb="20">
      <t>コウレイ</t>
    </rPh>
    <rPh sb="20" eb="21">
      <t>シャ</t>
    </rPh>
    <rPh sb="21" eb="23">
      <t>イリョウ</t>
    </rPh>
    <rPh sb="23" eb="25">
      <t>セイド</t>
    </rPh>
    <rPh sb="26" eb="27">
      <t>ウツ</t>
    </rPh>
    <rPh sb="29" eb="30">
      <t>ヒト</t>
    </rPh>
    <rPh sb="31" eb="33">
      <t>セタイ</t>
    </rPh>
    <rPh sb="39" eb="41">
      <t>ケッカ</t>
    </rPh>
    <rPh sb="42" eb="44">
      <t>セタイ</t>
    </rPh>
    <rPh sb="44" eb="45">
      <t>ナイ</t>
    </rPh>
    <rPh sb="46" eb="48">
      <t>コクミン</t>
    </rPh>
    <rPh sb="48" eb="50">
      <t>ケンコウ</t>
    </rPh>
    <rPh sb="50" eb="52">
      <t>ホケン</t>
    </rPh>
    <rPh sb="55" eb="56">
      <t>シャ</t>
    </rPh>
    <phoneticPr fontId="2"/>
  </si>
  <si>
    <t>の人数が一人になってから５年以内の世帯のことです。医療分と支援金分の平等割額が半額になる経過措置が設けられています。</t>
    <rPh sb="13" eb="14">
      <t>ネン</t>
    </rPh>
    <rPh sb="14" eb="16">
      <t>イナイ</t>
    </rPh>
    <rPh sb="17" eb="19">
      <t>セタイ</t>
    </rPh>
    <rPh sb="31" eb="32">
      <t>キン</t>
    </rPh>
    <phoneticPr fontId="2"/>
  </si>
  <si>
    <t>　６年目から３年間は特定継続世帯（4分の1減額）となります。 特定継続世帯の税額試算については、国民健康保険税担当者</t>
    <rPh sb="2" eb="3">
      <t>ネン</t>
    </rPh>
    <rPh sb="3" eb="4">
      <t>メ</t>
    </rPh>
    <rPh sb="7" eb="9">
      <t>ネンカン</t>
    </rPh>
    <rPh sb="10" eb="12">
      <t>トクテイ</t>
    </rPh>
    <rPh sb="12" eb="14">
      <t>ケイゾク</t>
    </rPh>
    <rPh sb="14" eb="16">
      <t>セタイ</t>
    </rPh>
    <rPh sb="38" eb="40">
      <t>ゼイガク</t>
    </rPh>
    <rPh sb="40" eb="42">
      <t>シサン</t>
    </rPh>
    <phoneticPr fontId="2"/>
  </si>
  <si>
    <t>までお問い合わせください。</t>
    <rPh sb="3" eb="4">
      <t>ト</t>
    </rPh>
    <rPh sb="5" eb="6">
      <t>ア</t>
    </rPh>
    <phoneticPr fontId="2"/>
  </si>
  <si>
    <t>円</t>
    <rPh sb="0" eb="1">
      <t>エン</t>
    </rPh>
    <phoneticPr fontId="2"/>
  </si>
  <si>
    <t>※軽減判定計算結果</t>
    <rPh sb="1" eb="3">
      <t>ケイゲン</t>
    </rPh>
    <rPh sb="3" eb="5">
      <t>ハンテイ</t>
    </rPh>
    <rPh sb="5" eb="7">
      <t>ケイサン</t>
    </rPh>
    <rPh sb="7" eb="9">
      <t>ケッカ</t>
    </rPh>
    <phoneticPr fontId="2"/>
  </si>
  <si>
    <t>無し</t>
  </si>
  <si>
    <t>⑧
所得金額調整控除の有無（特別障害者・23歳未満の扶養控除等）</t>
    <rPh sb="2" eb="4">
      <t>ショトク</t>
    </rPh>
    <rPh sb="4" eb="6">
      <t>キンガク</t>
    </rPh>
    <rPh sb="6" eb="8">
      <t>チョウセイ</t>
    </rPh>
    <rPh sb="8" eb="10">
      <t>コウジョ</t>
    </rPh>
    <rPh sb="11" eb="13">
      <t>ウム</t>
    </rPh>
    <rPh sb="14" eb="16">
      <t>トクベツ</t>
    </rPh>
    <rPh sb="16" eb="19">
      <t>ショウガイシャ</t>
    </rPh>
    <rPh sb="22" eb="25">
      <t>サイミマン</t>
    </rPh>
    <rPh sb="26" eb="28">
      <t>フヨウ</t>
    </rPh>
    <rPh sb="28" eb="30">
      <t>コウジョ</t>
    </rPh>
    <rPh sb="30" eb="31">
      <t>トウ</t>
    </rPh>
    <phoneticPr fontId="2"/>
  </si>
  <si>
    <r>
      <t>国民健康保険被保険者（加入者）全員が1年間(12ヵ月)加入する</t>
    </r>
    <r>
      <rPr>
        <sz val="10"/>
        <color indexed="10"/>
        <rFont val="ＭＳ ゴシック"/>
        <family val="3"/>
        <charset val="128"/>
      </rPr>
      <t>ものとして計算されます。</t>
    </r>
    <rPh sb="0" eb="2">
      <t>コクミン</t>
    </rPh>
    <rPh sb="2" eb="4">
      <t>ケンコウ</t>
    </rPh>
    <rPh sb="4" eb="6">
      <t>ホケン</t>
    </rPh>
    <rPh sb="6" eb="10">
      <t>ヒホケンシャ</t>
    </rPh>
    <rPh sb="11" eb="14">
      <t>カニュウシャ</t>
    </rPh>
    <rPh sb="15" eb="17">
      <t>ゼンイン</t>
    </rPh>
    <rPh sb="19" eb="21">
      <t>ネンカン</t>
    </rPh>
    <rPh sb="25" eb="26">
      <t>ゲツ</t>
    </rPh>
    <rPh sb="27" eb="29">
      <t>カニュウ</t>
    </rPh>
    <rPh sb="36" eb="38">
      <t>ケイサン</t>
    </rPh>
    <phoneticPr fontId="2"/>
  </si>
  <si>
    <t>【令和4年度～対応版】</t>
    <rPh sb="1" eb="2">
      <t>レイ</t>
    </rPh>
    <rPh sb="2" eb="3">
      <t>カズ</t>
    </rPh>
    <rPh sb="4" eb="6">
      <t>ネンド</t>
    </rPh>
    <rPh sb="7" eb="9">
      <t>タイオウ</t>
    </rPh>
    <rPh sb="9" eb="10">
      <t>バン</t>
    </rPh>
    <phoneticPr fontId="2"/>
  </si>
  <si>
    <t>未就学児</t>
    <rPh sb="0" eb="3">
      <t>ミシュウガク</t>
    </rPh>
    <rPh sb="3" eb="4">
      <t>ジ</t>
    </rPh>
    <phoneticPr fontId="2"/>
  </si>
  <si>
    <t>　　　５歳以下を未就学児（均等割５割軽減）として計算しています。</t>
    <rPh sb="4" eb="7">
      <t>サイイカ</t>
    </rPh>
    <rPh sb="8" eb="12">
      <t>ミシュウガクジ</t>
    </rPh>
    <rPh sb="13" eb="16">
      <t>キントウワリ</t>
    </rPh>
    <rPh sb="17" eb="18">
      <t>ワリ</t>
    </rPh>
    <rPh sb="18" eb="20">
      <t>ケイゲン</t>
    </rPh>
    <rPh sb="24" eb="26">
      <t>ケイサン</t>
    </rPh>
    <phoneticPr fontId="2"/>
  </si>
  <si>
    <t>人</t>
    <rPh sb="0" eb="1">
      <t>ニン</t>
    </rPh>
    <phoneticPr fontId="2"/>
  </si>
  <si>
    <t>以降</t>
    <phoneticPr fontId="2"/>
  </si>
  <si>
    <t>　となる見込みです。</t>
    <rPh sb="4" eb="6">
      <t>ミコ</t>
    </rPh>
    <phoneticPr fontId="2"/>
  </si>
  <si>
    <t>年金・給与所得者数</t>
    <rPh sb="0" eb="2">
      <t>ネンキン</t>
    </rPh>
    <rPh sb="3" eb="5">
      <t>キュウヨ</t>
    </rPh>
    <rPh sb="5" eb="7">
      <t>ショトク</t>
    </rPh>
    <rPh sb="7" eb="8">
      <t>シャ</t>
    </rPh>
    <rPh sb="8" eb="9">
      <t>スウ</t>
    </rPh>
    <phoneticPr fontId="2"/>
  </si>
  <si>
    <t>年金・給与所得者</t>
    <rPh sb="0" eb="2">
      <t>ネンキン</t>
    </rPh>
    <rPh sb="3" eb="8">
      <t>キュウヨショトクシャ</t>
    </rPh>
    <phoneticPr fontId="2"/>
  </si>
  <si>
    <t>令和８</t>
    <rPh sb="0" eb="2">
      <t>レイワ</t>
    </rPh>
    <phoneticPr fontId="2"/>
  </si>
  <si>
    <t>令和９</t>
    <rPh sb="0" eb="2">
      <t>レイワ</t>
    </rPh>
    <phoneticPr fontId="2"/>
  </si>
  <si>
    <t>令和１０</t>
    <rPh sb="0" eb="2">
      <t>レイワ</t>
    </rPh>
    <phoneticPr fontId="2"/>
  </si>
  <si>
    <t>令和１１</t>
    <rPh sb="0" eb="2">
      <t>レイワ</t>
    </rPh>
    <phoneticPr fontId="2"/>
  </si>
  <si>
    <t>令和１２</t>
    <rPh sb="0" eb="2">
      <t>レイワ</t>
    </rPh>
    <phoneticPr fontId="2"/>
  </si>
  <si>
    <t>令和１３</t>
    <rPh sb="0" eb="2">
      <t>レイワ</t>
    </rPh>
    <phoneticPr fontId="2"/>
  </si>
  <si>
    <t>令和１４</t>
    <rPh sb="0" eb="2">
      <t>レイワ</t>
    </rPh>
    <phoneticPr fontId="2"/>
  </si>
  <si>
    <t>令和１５</t>
    <rPh sb="0" eb="2">
      <t>レイワ</t>
    </rPh>
    <phoneticPr fontId="2"/>
  </si>
  <si>
    <t>令和１６</t>
    <rPh sb="0" eb="2">
      <t>レイワ</t>
    </rPh>
    <phoneticPr fontId="2"/>
  </si>
  <si>
    <t>令和１７</t>
    <rPh sb="0" eb="2">
      <t>レイワ</t>
    </rPh>
    <phoneticPr fontId="2"/>
  </si>
  <si>
    <t>年金・給与所得者</t>
    <rPh sb="0" eb="2">
      <t>ネンキン</t>
    </rPh>
    <rPh sb="3" eb="5">
      <t>キュウヨ</t>
    </rPh>
    <rPh sb="5" eb="7">
      <t>ショトク</t>
    </rPh>
    <rPh sb="7" eb="8">
      <t>シャ</t>
    </rPh>
    <phoneticPr fontId="2"/>
  </si>
  <si>
    <r>
      <t xml:space="preserve">③
年金収入
</t>
    </r>
    <r>
      <rPr>
        <b/>
        <sz val="6"/>
        <rFont val="ＭＳ Ｐゴシック"/>
        <family val="3"/>
        <charset val="128"/>
      </rPr>
      <t>（※1）</t>
    </r>
    <rPh sb="2" eb="4">
      <t>ネンキン</t>
    </rPh>
    <rPh sb="4" eb="6">
      <t>シュウニュウ</t>
    </rPh>
    <phoneticPr fontId="2"/>
  </si>
  <si>
    <t>　帯です。（※専従者給与・控除、損失繰越のある方はこのシートでは正確な軽減判定ができませんので御了承ください。）</t>
    <rPh sb="7" eb="12">
      <t>センジュウシャキュウヨ</t>
    </rPh>
    <rPh sb="13" eb="15">
      <t>コウジョ</t>
    </rPh>
    <rPh sb="16" eb="18">
      <t>ソンシツ</t>
    </rPh>
    <rPh sb="18" eb="20">
      <t>クリコシ</t>
    </rPh>
    <rPh sb="23" eb="24">
      <t>カタ</t>
    </rPh>
    <rPh sb="32" eb="34">
      <t>セイカク</t>
    </rPh>
    <rPh sb="35" eb="37">
      <t>ケイゲン</t>
    </rPh>
    <rPh sb="37" eb="39">
      <t>ハンテイ</t>
    </rPh>
    <rPh sb="47" eb="48">
      <t>ゴ</t>
    </rPh>
    <rPh sb="48" eb="50">
      <t>リョウショウ</t>
    </rPh>
    <phoneticPr fontId="2"/>
  </si>
  <si>
    <t>⑤
後期高齢者医療制度移行の有無</t>
    <rPh sb="2" eb="4">
      <t>コウキ</t>
    </rPh>
    <rPh sb="4" eb="7">
      <t>コウレイシャ</t>
    </rPh>
    <rPh sb="7" eb="9">
      <t>イリョウ</t>
    </rPh>
    <rPh sb="9" eb="11">
      <t>セイド</t>
    </rPh>
    <rPh sb="11" eb="13">
      <t>イコウ</t>
    </rPh>
    <rPh sb="14" eb="16">
      <t>ウム</t>
    </rPh>
    <phoneticPr fontId="2"/>
  </si>
  <si>
    <t>⑥
所得金額調整控除の有無</t>
    <rPh sb="6" eb="8">
      <t>チョウセイ</t>
    </rPh>
    <phoneticPr fontId="2"/>
  </si>
  <si>
    <t>⑤
所得金額調整控除の有無</t>
    <rPh sb="6" eb="8">
      <t>チョウセイ</t>
    </rPh>
    <phoneticPr fontId="2"/>
  </si>
  <si>
    <t>軽減判定所得</t>
  </si>
  <si>
    <t>※赤色のセルは、税率や軽減判定所得、</t>
    <phoneticPr fontId="2"/>
  </si>
  <si>
    <t>限度額の数値が反映されているところ</t>
    <phoneticPr fontId="2"/>
  </si>
  <si>
    <t>令和7年度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</si>
</sst>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_ &quot;円&quot;"/>
    <numFmt numFmtId="178" formatCode="#,##0_ "/>
    <numFmt numFmtId="179" formatCode="#,##0_ &quot;歳&quot;"/>
    <numFmt numFmtId="180" formatCode=";;;"/>
    <numFmt numFmtId="181" formatCode="#,##0.0_ %"/>
    <numFmt numFmtId="182" formatCode="0_ &quot;人&quot;"/>
    <numFmt numFmtId="183" formatCode="#,##0.00_ %"/>
    <numFmt numFmtId="184" formatCode="#,##0&quot;円&quot;"/>
    <numFmt numFmtId="185" formatCode="ggge&quot;年&quot;"/>
    <numFmt numFmtId="186" formatCode="ggge"/>
    <numFmt numFmtId="187" formatCode="\(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Century"/>
      <family val="1"/>
    </font>
    <font>
      <b/>
      <sz val="11"/>
      <name val="ＭＳ Ｐゴシック"/>
      <family val="3"/>
      <charset val="128"/>
    </font>
    <font>
      <sz val="11"/>
      <name val="ＭＳ Ｐ明朝"/>
      <family val="1"/>
      <charset val="128"/>
    </font>
    <font>
      <sz val="10"/>
      <name val="ＭＳ Ｐゴシック"/>
      <family val="3"/>
      <charset val="128"/>
    </font>
    <font>
      <sz val="11"/>
      <color indexed="10"/>
      <name val="ＭＳ Ｐゴシック"/>
      <family val="3"/>
      <charset val="128"/>
    </font>
    <font>
      <b/>
      <sz val="12"/>
      <name val="ＭＳ Ｐゴシック"/>
      <family val="3"/>
      <charset val="128"/>
    </font>
    <font>
      <sz val="12"/>
      <name val="Century"/>
      <family val="1"/>
    </font>
    <font>
      <sz val="14"/>
      <color indexed="12"/>
      <name val="ＭＳ Ｐゴシック"/>
      <family val="3"/>
      <charset val="128"/>
    </font>
    <font>
      <sz val="10"/>
      <name val="ＭＳ Ｐ明朝"/>
      <family val="1"/>
      <charset val="128"/>
    </font>
    <font>
      <sz val="10"/>
      <name val="ＭＳ ゴシック"/>
      <family val="3"/>
      <charset val="128"/>
    </font>
    <font>
      <sz val="9"/>
      <name val="ＭＳ ゴシック"/>
      <family val="3"/>
      <charset val="128"/>
    </font>
    <font>
      <sz val="9"/>
      <name val="ＭＳ Ｐゴシック"/>
      <family val="3"/>
      <charset val="128"/>
    </font>
    <font>
      <sz val="9"/>
      <color indexed="12"/>
      <name val="ＭＳ ゴシック"/>
      <family val="3"/>
      <charset val="128"/>
    </font>
    <font>
      <sz val="8"/>
      <name val="ＭＳ ゴシック"/>
      <family val="3"/>
      <charset val="128"/>
    </font>
    <font>
      <b/>
      <i/>
      <sz val="9"/>
      <color indexed="10"/>
      <name val="ＭＳ ゴシック"/>
      <family val="3"/>
      <charset val="128"/>
    </font>
    <font>
      <b/>
      <sz val="10"/>
      <name val="ＭＳ ゴシック"/>
      <family val="3"/>
      <charset val="128"/>
    </font>
    <font>
      <b/>
      <u/>
      <sz val="10"/>
      <name val="ＭＳ ゴシック"/>
      <family val="3"/>
      <charset val="128"/>
    </font>
    <font>
      <b/>
      <sz val="9"/>
      <name val="ＭＳ ゴシック"/>
      <family val="3"/>
      <charset val="128"/>
    </font>
    <font>
      <sz val="10"/>
      <color indexed="10"/>
      <name val="ＭＳ ゴシック"/>
      <family val="3"/>
      <charset val="128"/>
    </font>
    <font>
      <sz val="9"/>
      <color indexed="10"/>
      <name val="ＭＳ ゴシック"/>
      <family val="3"/>
      <charset val="128"/>
    </font>
    <font>
      <sz val="8"/>
      <color indexed="10"/>
      <name val="ＭＳ ゴシック"/>
      <family val="3"/>
      <charset val="128"/>
    </font>
    <font>
      <sz val="11"/>
      <color indexed="9"/>
      <name val="ＭＳ Ｐゴシック"/>
      <family val="3"/>
      <charset val="128"/>
    </font>
    <font>
      <sz val="10"/>
      <color indexed="9"/>
      <name val="ＭＳ ゴシック"/>
      <family val="3"/>
      <charset val="128"/>
    </font>
    <font>
      <sz val="9"/>
      <color indexed="9"/>
      <name val="ＭＳ ゴシック"/>
      <family val="3"/>
      <charset val="128"/>
    </font>
    <font>
      <sz val="8"/>
      <color indexed="9"/>
      <name val="ＭＳ ゴシック"/>
      <family val="3"/>
      <charset val="128"/>
    </font>
    <font>
      <b/>
      <u/>
      <sz val="10"/>
      <color indexed="10"/>
      <name val="ＭＳ ゴシック"/>
      <family val="3"/>
      <charset val="128"/>
    </font>
    <font>
      <b/>
      <sz val="10"/>
      <color indexed="12"/>
      <name val="ＭＳ ゴシック"/>
      <family val="3"/>
      <charset val="128"/>
    </font>
    <font>
      <b/>
      <sz val="9"/>
      <color indexed="12"/>
      <name val="ＭＳ ゴシック"/>
      <family val="3"/>
      <charset val="128"/>
    </font>
    <font>
      <b/>
      <sz val="14"/>
      <color indexed="10"/>
      <name val="ＭＳ ゴシック"/>
      <family val="3"/>
      <charset val="128"/>
    </font>
    <font>
      <b/>
      <sz val="18"/>
      <color indexed="12"/>
      <name val="ＭＳ Ｐゴシック"/>
      <family val="3"/>
      <charset val="128"/>
    </font>
    <font>
      <sz val="18"/>
      <name val="ＭＳ ゴシック"/>
      <family val="3"/>
      <charset val="128"/>
    </font>
    <font>
      <sz val="18"/>
      <color indexed="10"/>
      <name val="ＭＳ ゴシック"/>
      <family val="3"/>
      <charset val="128"/>
    </font>
    <font>
      <sz val="18"/>
      <color indexed="9"/>
      <name val="ＭＳ ゴシック"/>
      <family val="3"/>
      <charset val="128"/>
    </font>
    <font>
      <b/>
      <sz val="16"/>
      <color indexed="10"/>
      <name val="ＭＳ ゴシック"/>
      <family val="3"/>
      <charset val="128"/>
    </font>
    <font>
      <sz val="14"/>
      <name val="ＭＳ ゴシック"/>
      <family val="3"/>
      <charset val="128"/>
    </font>
    <font>
      <sz val="11"/>
      <name val="ＭＳ ゴシック"/>
      <family val="3"/>
      <charset val="128"/>
    </font>
    <font>
      <sz val="6"/>
      <name val="ＭＳ ゴシック"/>
      <family val="3"/>
      <charset val="128"/>
    </font>
    <font>
      <b/>
      <sz val="11"/>
      <name val="ＭＳ ゴシック"/>
      <family val="3"/>
      <charset val="128"/>
    </font>
    <font>
      <b/>
      <sz val="10"/>
      <name val="ＭＳ Ｐ明朝"/>
      <family val="1"/>
      <charset val="128"/>
    </font>
    <font>
      <b/>
      <sz val="10"/>
      <color indexed="10"/>
      <name val="ＭＳ ゴシック"/>
      <family val="3"/>
      <charset val="128"/>
    </font>
    <font>
      <b/>
      <sz val="10"/>
      <color indexed="9"/>
      <name val="ＭＳ ゴシック"/>
      <family val="3"/>
      <charset val="128"/>
    </font>
    <font>
      <b/>
      <sz val="9"/>
      <color indexed="10"/>
      <name val="ＭＳ ゴシック"/>
      <family val="3"/>
      <charset val="128"/>
    </font>
    <font>
      <b/>
      <sz val="18"/>
      <color indexed="10"/>
      <name val="ＭＳ Ｐゴシック"/>
      <family val="3"/>
      <charset val="128"/>
    </font>
    <font>
      <sz val="18"/>
      <color indexed="10"/>
      <name val="ＭＳ Ｐゴシック"/>
      <family val="3"/>
      <charset val="128"/>
    </font>
    <font>
      <b/>
      <sz val="10"/>
      <color indexed="10"/>
      <name val="ＭＳ Ｐゴシック"/>
      <family val="3"/>
      <charset val="128"/>
    </font>
    <font>
      <u/>
      <sz val="10"/>
      <color indexed="10"/>
      <name val="ＭＳ ゴシック"/>
      <family val="3"/>
      <charset val="128"/>
    </font>
    <font>
      <sz val="11"/>
      <name val="ＭＳ Ｐゴシック"/>
      <family val="3"/>
      <charset val="128"/>
    </font>
    <font>
      <sz val="8.5"/>
      <name val="ＭＳ ゴシック"/>
      <family val="3"/>
      <charset val="128"/>
    </font>
    <font>
      <sz val="8.5"/>
      <color indexed="10"/>
      <name val="ＭＳ ゴシック"/>
      <family val="3"/>
      <charset val="128"/>
    </font>
    <font>
      <sz val="8.5"/>
      <color indexed="9"/>
      <name val="ＭＳ ゴシック"/>
      <family val="3"/>
      <charset val="128"/>
    </font>
    <font>
      <sz val="7"/>
      <name val="ＭＳ ゴシック"/>
      <family val="3"/>
      <charset val="128"/>
    </font>
    <font>
      <b/>
      <sz val="10"/>
      <name val="ＭＳ Ｐゴシック"/>
      <family val="3"/>
      <charset val="128"/>
    </font>
    <font>
      <b/>
      <sz val="18"/>
      <name val="ＭＳ Ｐゴシック"/>
      <family val="3"/>
      <charset val="128"/>
    </font>
    <font>
      <sz val="8"/>
      <name val="ＭＳ Ｐゴシック"/>
      <family val="3"/>
      <charset val="128"/>
    </font>
    <font>
      <sz val="20"/>
      <name val="ＭＳ Ｐゴシック"/>
      <family val="3"/>
      <charset val="128"/>
    </font>
    <font>
      <b/>
      <sz val="20"/>
      <name val="ＭＳ Ｐゴシック"/>
      <family val="3"/>
      <charset val="128"/>
    </font>
    <font>
      <sz val="7"/>
      <name val="ＭＳ Ｐゴシック"/>
      <family val="3"/>
      <charset val="128"/>
    </font>
    <font>
      <sz val="12"/>
      <name val="ＭＳ ゴシック"/>
      <family val="3"/>
      <charset val="128"/>
    </font>
    <font>
      <b/>
      <sz val="11"/>
      <color rgb="FFFF0000"/>
      <name val="ＭＳ ゴシック"/>
      <family val="3"/>
      <charset val="128"/>
    </font>
    <font>
      <b/>
      <sz val="11"/>
      <color rgb="FFFF0000"/>
      <name val="ＭＳ Ｐゴシック"/>
      <family val="3"/>
      <charset val="128"/>
    </font>
    <font>
      <b/>
      <sz val="14"/>
      <color rgb="FFFF0000"/>
      <name val="ＭＳ Ｐゴシック"/>
      <family val="3"/>
      <charset val="128"/>
    </font>
    <font>
      <sz val="10"/>
      <color theme="1"/>
      <name val="ＭＳ ゴシック"/>
      <family val="3"/>
      <charset val="128"/>
    </font>
    <font>
      <b/>
      <sz val="8"/>
      <name val="ＭＳ ゴシック"/>
      <family val="3"/>
      <charset val="128"/>
    </font>
    <font>
      <b/>
      <sz val="12"/>
      <color theme="0"/>
      <name val="メイリオ"/>
      <family val="3"/>
      <charset val="128"/>
    </font>
    <font>
      <sz val="11"/>
      <color rgb="FFFF0000"/>
      <name val="ＭＳ Ｐゴシック"/>
      <family val="3"/>
      <charset val="128"/>
    </font>
    <font>
      <sz val="9"/>
      <color rgb="FFFF0000"/>
      <name val="ＭＳ ゴシック"/>
      <family val="3"/>
      <charset val="128"/>
    </font>
    <font>
      <sz val="9"/>
      <color rgb="FFFF0000"/>
      <name val="ＭＳ Ｐゴシック"/>
      <family val="3"/>
      <charset val="128"/>
    </font>
    <font>
      <b/>
      <sz val="12"/>
      <color rgb="FFFF0000"/>
      <name val="ＭＳ ゴシック"/>
      <family val="3"/>
      <charset val="128"/>
    </font>
    <font>
      <sz val="14.5"/>
      <name val="ＭＳ Ｐゴシック"/>
      <family val="3"/>
      <charset val="128"/>
    </font>
    <font>
      <b/>
      <sz val="11"/>
      <color rgb="FF00B050"/>
      <name val="ＭＳ Ｐゴシック"/>
      <family val="3"/>
      <charset val="128"/>
    </font>
    <font>
      <b/>
      <sz val="6"/>
      <name val="ＭＳ Ｐ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rgb="FFFF00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CCFFFF"/>
        <bgColor indexed="64"/>
      </patternFill>
    </fill>
    <fill>
      <patternFill patternType="solid">
        <fgColor theme="0" tint="-0.249977111117893"/>
        <bgColor indexed="64"/>
      </patternFill>
    </fill>
  </fills>
  <borders count="249">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double">
        <color indexed="64"/>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style="medium">
        <color indexed="64"/>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style="medium">
        <color indexed="64"/>
      </bottom>
      <diagonal/>
    </border>
    <border>
      <left style="thin">
        <color indexed="64"/>
      </left>
      <right style="double">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12"/>
      </left>
      <right style="thin">
        <color indexed="64"/>
      </right>
      <top style="thin">
        <color indexed="12"/>
      </top>
      <bottom style="thin">
        <color indexed="64"/>
      </bottom>
      <diagonal/>
    </border>
    <border>
      <left style="thin">
        <color indexed="64"/>
      </left>
      <right style="thin">
        <color indexed="64"/>
      </right>
      <top style="thin">
        <color indexed="12"/>
      </top>
      <bottom style="thin">
        <color indexed="64"/>
      </bottom>
      <diagonal/>
    </border>
    <border>
      <left style="thin">
        <color indexed="64"/>
      </left>
      <right style="thin">
        <color indexed="12"/>
      </right>
      <top style="thin">
        <color indexed="12"/>
      </top>
      <bottom style="thin">
        <color indexed="64"/>
      </bottom>
      <diagonal/>
    </border>
    <border>
      <left style="thin">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thin">
        <color indexed="12"/>
      </right>
      <top style="thin">
        <color indexed="64"/>
      </top>
      <bottom style="thin">
        <color indexed="12"/>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style="double">
        <color indexed="64"/>
      </left>
      <right/>
      <top/>
      <bottom/>
      <diagonal/>
    </border>
    <border>
      <left style="thin">
        <color indexed="64"/>
      </left>
      <right style="medium">
        <color indexed="64"/>
      </right>
      <top/>
      <bottom style="medium">
        <color indexed="64"/>
      </bottom>
      <diagonal/>
    </border>
    <border>
      <left style="hair">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diagonal/>
    </border>
    <border>
      <left/>
      <right style="hair">
        <color indexed="64"/>
      </right>
      <top style="medium">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double">
        <color indexed="64"/>
      </left>
      <right/>
      <top style="thin">
        <color indexed="64"/>
      </top>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style="mediumDashDot">
        <color rgb="FFFF0000"/>
      </left>
      <right/>
      <top/>
      <bottom style="mediumDashDot">
        <color rgb="FFFF0000"/>
      </bottom>
      <diagonal/>
    </border>
    <border>
      <left/>
      <right style="mediumDashDot">
        <color rgb="FFFF0000"/>
      </right>
      <top/>
      <bottom style="mediumDashDot">
        <color rgb="FFFF0000"/>
      </bottom>
      <diagonal/>
    </border>
    <border>
      <left/>
      <right style="medium">
        <color indexed="64"/>
      </right>
      <top style="mediumDashDot">
        <color rgb="FFFF0000"/>
      </top>
      <bottom style="mediumDashDot">
        <color rgb="FFFF0000"/>
      </bottom>
      <diagonal/>
    </border>
    <border>
      <left/>
      <right/>
      <top style="mediumDashDot">
        <color rgb="FFFF0000"/>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88">
    <xf numFmtId="0" fontId="0" fillId="0" borderId="0" xfId="0"/>
    <xf numFmtId="0" fontId="3"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76" fontId="3" fillId="0" borderId="0" xfId="0" applyNumberFormat="1" applyFont="1" applyAlignment="1">
      <alignment vertical="center" shrinkToFit="1"/>
    </xf>
    <xf numFmtId="176" fontId="3" fillId="0" borderId="3"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0" fontId="0" fillId="0" borderId="0" xfId="0" applyAlignment="1">
      <alignment shrinkToFit="1"/>
    </xf>
    <xf numFmtId="176" fontId="3" fillId="0" borderId="3" xfId="0" applyNumberFormat="1" applyFont="1" applyBorder="1" applyAlignment="1">
      <alignment shrinkToFit="1"/>
    </xf>
    <xf numFmtId="176" fontId="3" fillId="0" borderId="4" xfId="0" applyNumberFormat="1" applyFont="1" applyBorder="1" applyAlignment="1">
      <alignment shrinkToFit="1"/>
    </xf>
    <xf numFmtId="0" fontId="3" fillId="0" borderId="0" xfId="0" applyFont="1" applyAlignment="1">
      <alignment horizontal="center" vertical="center" shrinkToFit="1"/>
    </xf>
    <xf numFmtId="176" fontId="3" fillId="0" borderId="0" xfId="0" applyNumberFormat="1" applyFont="1" applyAlignment="1">
      <alignment shrinkToFit="1"/>
    </xf>
    <xf numFmtId="176" fontId="3" fillId="0" borderId="5" xfId="0" applyNumberFormat="1" applyFont="1" applyBorder="1" applyAlignment="1">
      <alignment vertical="center" shrinkToFit="1"/>
    </xf>
    <xf numFmtId="176" fontId="3" fillId="0" borderId="6" xfId="0" applyNumberFormat="1" applyFont="1" applyBorder="1" applyAlignment="1">
      <alignment vertical="center" shrinkToFit="1"/>
    </xf>
    <xf numFmtId="176" fontId="3" fillId="0" borderId="5" xfId="0" applyNumberFormat="1" applyFont="1" applyBorder="1" applyAlignment="1">
      <alignment shrinkToFit="1"/>
    </xf>
    <xf numFmtId="176" fontId="3" fillId="0" borderId="6" xfId="0" applyNumberFormat="1" applyFont="1" applyBorder="1" applyAlignment="1">
      <alignment shrinkToFit="1"/>
    </xf>
    <xf numFmtId="176" fontId="3" fillId="0" borderId="7" xfId="0" applyNumberFormat="1" applyFont="1" applyBorder="1" applyAlignment="1">
      <alignment shrinkToFit="1"/>
    </xf>
    <xf numFmtId="176" fontId="3" fillId="0" borderId="8" xfId="0" applyNumberFormat="1" applyFont="1" applyBorder="1" applyAlignment="1">
      <alignment shrinkToFit="1"/>
    </xf>
    <xf numFmtId="176" fontId="3" fillId="0" borderId="9" xfId="0" applyNumberFormat="1" applyFont="1" applyBorder="1" applyAlignment="1">
      <alignment shrinkToFit="1"/>
    </xf>
    <xf numFmtId="176" fontId="3" fillId="0" borderId="10" xfId="0" applyNumberFormat="1" applyFont="1" applyBorder="1" applyAlignment="1">
      <alignment shrinkToFit="1"/>
    </xf>
    <xf numFmtId="176" fontId="3" fillId="0" borderId="12" xfId="0" applyNumberFormat="1" applyFont="1" applyBorder="1" applyAlignment="1">
      <alignment vertical="center" shrinkToFit="1"/>
    </xf>
    <xf numFmtId="176" fontId="3" fillId="0" borderId="13" xfId="0" applyNumberFormat="1" applyFont="1" applyBorder="1" applyAlignment="1">
      <alignment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176" fontId="3" fillId="0" borderId="17" xfId="0" applyNumberFormat="1" applyFont="1" applyBorder="1" applyAlignment="1">
      <alignment vertical="center" shrinkToFit="1"/>
    </xf>
    <xf numFmtId="0" fontId="4" fillId="0" borderId="18" xfId="0" applyFont="1" applyBorder="1" applyAlignment="1">
      <alignment horizontal="center" vertical="center" shrinkToFit="1"/>
    </xf>
    <xf numFmtId="0" fontId="3" fillId="0" borderId="19" xfId="0" applyFont="1" applyBorder="1" applyAlignment="1">
      <alignment horizontal="center" vertical="center" shrinkToFit="1"/>
    </xf>
    <xf numFmtId="176" fontId="3" fillId="0" borderId="20" xfId="0" applyNumberFormat="1" applyFont="1" applyBorder="1" applyAlignment="1">
      <alignment vertical="center" shrinkToFit="1"/>
    </xf>
    <xf numFmtId="176" fontId="3" fillId="0" borderId="21" xfId="0" applyNumberFormat="1" applyFont="1" applyBorder="1" applyAlignment="1">
      <alignment vertical="center" shrinkToFit="1"/>
    </xf>
    <xf numFmtId="0" fontId="3" fillId="0" borderId="22" xfId="0" applyFont="1" applyBorder="1" applyAlignment="1">
      <alignment horizontal="center" vertical="center" shrinkToFit="1"/>
    </xf>
    <xf numFmtId="176" fontId="3" fillId="0" borderId="23" xfId="0" applyNumberFormat="1" applyFont="1" applyBorder="1" applyAlignment="1">
      <alignment vertical="center" shrinkToFit="1"/>
    </xf>
    <xf numFmtId="0" fontId="4" fillId="0" borderId="24" xfId="0" applyFont="1" applyBorder="1" applyAlignment="1">
      <alignment horizontal="center" vertical="center" shrinkToFit="1"/>
    </xf>
    <xf numFmtId="176" fontId="3" fillId="0" borderId="25" xfId="0" applyNumberFormat="1" applyFont="1" applyBorder="1" applyAlignment="1">
      <alignment vertical="center" shrinkToFit="1"/>
    </xf>
    <xf numFmtId="176" fontId="3" fillId="0" borderId="19" xfId="0" applyNumberFormat="1" applyFont="1" applyBorder="1" applyAlignment="1">
      <alignment shrinkToFit="1"/>
    </xf>
    <xf numFmtId="176" fontId="3" fillId="0" borderId="22" xfId="0" applyNumberFormat="1" applyFont="1" applyBorder="1" applyAlignment="1">
      <alignment shrinkToFit="1"/>
    </xf>
    <xf numFmtId="176" fontId="3" fillId="0" borderId="26" xfId="0" applyNumberFormat="1" applyFont="1" applyBorder="1" applyAlignment="1">
      <alignment vertical="center" shrinkToFit="1"/>
    </xf>
    <xf numFmtId="176" fontId="3" fillId="0" borderId="27" xfId="0" applyNumberFormat="1" applyFont="1" applyBorder="1" applyAlignment="1">
      <alignment vertical="center" shrinkToFit="1"/>
    </xf>
    <xf numFmtId="176" fontId="3" fillId="0" borderId="28" xfId="0" applyNumberFormat="1" applyFont="1" applyBorder="1" applyAlignment="1">
      <alignment shrinkToFit="1"/>
    </xf>
    <xf numFmtId="0" fontId="0" fillId="0" borderId="29" xfId="0" applyBorder="1" applyAlignment="1">
      <alignment horizontal="center" shrinkToFit="1"/>
    </xf>
    <xf numFmtId="176" fontId="3" fillId="0" borderId="31" xfId="0" applyNumberFormat="1" applyFont="1" applyBorder="1" applyAlignment="1">
      <alignment vertical="center" shrinkToFit="1"/>
    </xf>
    <xf numFmtId="176" fontId="4" fillId="0" borderId="32" xfId="0" applyNumberFormat="1" applyFont="1" applyBorder="1" applyAlignment="1">
      <alignment vertical="center" shrinkToFit="1"/>
    </xf>
    <xf numFmtId="176" fontId="3" fillId="0" borderId="33" xfId="0" applyNumberFormat="1" applyFont="1" applyBorder="1" applyAlignment="1">
      <alignment horizontal="center" vertical="center" shrinkToFit="1"/>
    </xf>
    <xf numFmtId="176" fontId="3" fillId="0" borderId="34" xfId="0" applyNumberFormat="1" applyFont="1" applyBorder="1" applyAlignment="1">
      <alignment horizontal="center" vertical="center" shrinkToFit="1"/>
    </xf>
    <xf numFmtId="176" fontId="3" fillId="0" borderId="35" xfId="0" applyNumberFormat="1" applyFont="1" applyBorder="1" applyAlignment="1">
      <alignment horizontal="center" vertical="center" shrinkToFit="1"/>
    </xf>
    <xf numFmtId="176" fontId="3" fillId="0" borderId="36" xfId="0" applyNumberFormat="1" applyFont="1" applyBorder="1" applyAlignment="1">
      <alignment shrinkToFit="1"/>
    </xf>
    <xf numFmtId="176" fontId="3" fillId="0" borderId="37" xfId="0" applyNumberFormat="1" applyFont="1" applyBorder="1" applyAlignment="1">
      <alignment shrinkToFit="1"/>
    </xf>
    <xf numFmtId="176" fontId="3" fillId="0" borderId="26" xfId="0" applyNumberFormat="1" applyFont="1" applyBorder="1" applyAlignment="1">
      <alignment shrinkToFit="1"/>
    </xf>
    <xf numFmtId="176" fontId="3" fillId="0" borderId="38" xfId="0" applyNumberFormat="1" applyFont="1" applyBorder="1" applyAlignment="1">
      <alignment shrinkToFit="1"/>
    </xf>
    <xf numFmtId="176" fontId="3" fillId="0" borderId="23" xfId="0" applyNumberFormat="1" applyFont="1" applyBorder="1" applyAlignment="1">
      <alignment shrinkToFit="1"/>
    </xf>
    <xf numFmtId="176" fontId="3" fillId="0" borderId="21" xfId="0" applyNumberFormat="1" applyFont="1" applyBorder="1" applyAlignment="1">
      <alignment shrinkToFit="1"/>
    </xf>
    <xf numFmtId="176" fontId="3" fillId="0" borderId="39" xfId="0" applyNumberFormat="1" applyFont="1" applyBorder="1" applyAlignment="1">
      <alignment shrinkToFit="1"/>
    </xf>
    <xf numFmtId="176" fontId="3" fillId="0" borderId="40" xfId="0" applyNumberFormat="1" applyFont="1" applyBorder="1" applyAlignment="1">
      <alignment shrinkToFit="1"/>
    </xf>
    <xf numFmtId="176" fontId="3" fillId="0" borderId="41" xfId="0" applyNumberFormat="1" applyFont="1" applyBorder="1" applyAlignment="1">
      <alignment shrinkToFit="1"/>
    </xf>
    <xf numFmtId="176" fontId="3" fillId="0" borderId="42" xfId="0" applyNumberFormat="1" applyFont="1" applyBorder="1" applyAlignment="1">
      <alignment shrinkToFit="1"/>
    </xf>
    <xf numFmtId="0" fontId="3" fillId="0" borderId="43" xfId="0" applyFont="1" applyBorder="1" applyAlignment="1">
      <alignment horizontal="center"/>
    </xf>
    <xf numFmtId="0" fontId="3" fillId="0" borderId="43" xfId="0" applyFont="1" applyBorder="1" applyAlignment="1">
      <alignment horizontal="center" shrinkToFit="1"/>
    </xf>
    <xf numFmtId="0" fontId="3" fillId="0" borderId="44" xfId="0" applyFont="1" applyBorder="1" applyAlignment="1">
      <alignment horizontal="center" shrinkToFit="1"/>
    </xf>
    <xf numFmtId="0" fontId="4" fillId="0" borderId="0" xfId="0" applyFont="1"/>
    <xf numFmtId="176" fontId="3" fillId="0" borderId="46" xfId="0" applyNumberFormat="1" applyFont="1" applyBorder="1"/>
    <xf numFmtId="176" fontId="3" fillId="0" borderId="46" xfId="0" applyNumberFormat="1" applyFont="1" applyBorder="1" applyAlignment="1">
      <alignment shrinkToFit="1"/>
    </xf>
    <xf numFmtId="176" fontId="3" fillId="0" borderId="48" xfId="0" applyNumberFormat="1" applyFont="1" applyBorder="1" applyAlignment="1">
      <alignment shrinkToFit="1"/>
    </xf>
    <xf numFmtId="176" fontId="3" fillId="0" borderId="49" xfId="0" applyNumberFormat="1" applyFont="1" applyBorder="1" applyAlignment="1">
      <alignment shrinkToFit="1"/>
    </xf>
    <xf numFmtId="0" fontId="0" fillId="0" borderId="0" xfId="0" applyProtection="1">
      <protection hidden="1"/>
    </xf>
    <xf numFmtId="0" fontId="1" fillId="0" borderId="0" xfId="0" applyFont="1" applyProtection="1">
      <protection hidden="1"/>
    </xf>
    <xf numFmtId="0" fontId="7" fillId="2" borderId="33" xfId="0" applyFont="1" applyFill="1" applyBorder="1" applyAlignment="1" applyProtection="1">
      <alignment horizontal="center"/>
      <protection hidden="1"/>
    </xf>
    <xf numFmtId="0" fontId="7" fillId="2" borderId="34"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shrinkToFit="1"/>
      <protection hidden="1"/>
    </xf>
    <xf numFmtId="0" fontId="8" fillId="0" borderId="0" xfId="0" applyFont="1" applyProtection="1">
      <protection hidden="1"/>
    </xf>
    <xf numFmtId="0" fontId="7" fillId="2" borderId="50" xfId="0" applyFont="1" applyFill="1" applyBorder="1" applyAlignment="1" applyProtection="1">
      <alignment horizontal="center"/>
      <protection hidden="1"/>
    </xf>
    <xf numFmtId="176" fontId="5" fillId="0" borderId="51" xfId="0" applyNumberFormat="1" applyFont="1" applyBorder="1" applyProtection="1">
      <protection hidden="1"/>
    </xf>
    <xf numFmtId="176" fontId="5" fillId="0" borderId="52" xfId="0" applyNumberFormat="1" applyFont="1" applyBorder="1" applyProtection="1">
      <protection hidden="1"/>
    </xf>
    <xf numFmtId="0" fontId="7" fillId="0" borderId="53" xfId="0" applyFont="1" applyBorder="1" applyProtection="1">
      <protection hidden="1"/>
    </xf>
    <xf numFmtId="176" fontId="5" fillId="0" borderId="27" xfId="0" applyNumberFormat="1" applyFont="1" applyBorder="1" applyProtection="1">
      <protection hidden="1"/>
    </xf>
    <xf numFmtId="176" fontId="5" fillId="0" borderId="41" xfId="0" applyNumberFormat="1" applyFont="1" applyBorder="1" applyProtection="1">
      <protection hidden="1"/>
    </xf>
    <xf numFmtId="176" fontId="5" fillId="0" borderId="54" xfId="0" applyNumberFormat="1" applyFont="1" applyBorder="1" applyProtection="1">
      <protection hidden="1"/>
    </xf>
    <xf numFmtId="176" fontId="5" fillId="0" borderId="55" xfId="0" applyNumberFormat="1" applyFont="1" applyBorder="1" applyProtection="1">
      <protection hidden="1"/>
    </xf>
    <xf numFmtId="176" fontId="5" fillId="0" borderId="42" xfId="0" applyNumberFormat="1" applyFont="1" applyBorder="1" applyProtection="1">
      <protection hidden="1"/>
    </xf>
    <xf numFmtId="176" fontId="5" fillId="0" borderId="56" xfId="0" applyNumberFormat="1" applyFont="1" applyBorder="1" applyProtection="1">
      <protection hidden="1"/>
    </xf>
    <xf numFmtId="176" fontId="5" fillId="0" borderId="57" xfId="0" applyNumberFormat="1" applyFont="1" applyBorder="1" applyAlignment="1" applyProtection="1">
      <alignment horizontal="right" vertical="center"/>
      <protection hidden="1"/>
    </xf>
    <xf numFmtId="176" fontId="5" fillId="0" borderId="21" xfId="0" applyNumberFormat="1" applyFont="1" applyBorder="1" applyAlignment="1" applyProtection="1">
      <alignment horizontal="right" vertical="center"/>
      <protection hidden="1"/>
    </xf>
    <xf numFmtId="176" fontId="5" fillId="3" borderId="21" xfId="0" applyNumberFormat="1" applyFont="1" applyFill="1" applyBorder="1" applyAlignment="1" applyProtection="1">
      <alignment horizontal="right" vertical="center"/>
      <protection hidden="1"/>
    </xf>
    <xf numFmtId="0" fontId="7" fillId="0" borderId="58" xfId="0" applyFont="1" applyBorder="1" applyProtection="1">
      <protection hidden="1"/>
    </xf>
    <xf numFmtId="0" fontId="5" fillId="0" borderId="0" xfId="0" applyFont="1" applyAlignment="1" applyProtection="1">
      <alignment shrinkToFit="1"/>
      <protection hidden="1"/>
    </xf>
    <xf numFmtId="176" fontId="5" fillId="0" borderId="30" xfId="0" applyNumberFormat="1" applyFont="1" applyBorder="1" applyAlignment="1" applyProtection="1">
      <alignment horizontal="right"/>
      <protection hidden="1"/>
    </xf>
    <xf numFmtId="176" fontId="5" fillId="0" borderId="41" xfId="0" applyNumberFormat="1" applyFont="1" applyBorder="1" applyAlignment="1" applyProtection="1">
      <alignment horizontal="right"/>
      <protection hidden="1"/>
    </xf>
    <xf numFmtId="176" fontId="5" fillId="0" borderId="56" xfId="0" applyNumberFormat="1" applyFont="1" applyBorder="1" applyAlignment="1" applyProtection="1">
      <alignment horizontal="right"/>
      <protection hidden="1"/>
    </xf>
    <xf numFmtId="176" fontId="5" fillId="0" borderId="57" xfId="0" applyNumberFormat="1" applyFont="1" applyBorder="1" applyAlignment="1" applyProtection="1">
      <alignment vertical="center"/>
      <protection hidden="1"/>
    </xf>
    <xf numFmtId="176" fontId="5" fillId="0" borderId="21" xfId="0" applyNumberFormat="1" applyFont="1" applyBorder="1" applyAlignment="1" applyProtection="1">
      <alignment vertical="center"/>
      <protection hidden="1"/>
    </xf>
    <xf numFmtId="176" fontId="5" fillId="3" borderId="21" xfId="0" applyNumberFormat="1" applyFont="1" applyFill="1" applyBorder="1" applyAlignment="1" applyProtection="1">
      <alignment vertical="center"/>
      <protection hidden="1"/>
    </xf>
    <xf numFmtId="0" fontId="7" fillId="0" borderId="59" xfId="0" applyFont="1" applyBorder="1" applyProtection="1">
      <protection hidden="1"/>
    </xf>
    <xf numFmtId="0" fontId="6"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177" fontId="7" fillId="0" borderId="4" xfId="0" applyNumberFormat="1" applyFont="1" applyBorder="1" applyProtection="1">
      <protection hidden="1"/>
    </xf>
    <xf numFmtId="0" fontId="7" fillId="0" borderId="5" xfId="0" applyFont="1" applyBorder="1" applyAlignment="1" applyProtection="1">
      <alignment horizontal="center"/>
      <protection hidden="1"/>
    </xf>
    <xf numFmtId="177" fontId="7" fillId="0" borderId="6" xfId="0" applyNumberFormat="1" applyFont="1" applyBorder="1" applyProtection="1">
      <protection hidden="1"/>
    </xf>
    <xf numFmtId="0" fontId="7" fillId="0" borderId="9" xfId="0" applyFont="1" applyBorder="1" applyAlignment="1" applyProtection="1">
      <alignment horizontal="center"/>
      <protection hidden="1"/>
    </xf>
    <xf numFmtId="177" fontId="7" fillId="0" borderId="10" xfId="0" applyNumberFormat="1" applyFont="1" applyBorder="1" applyProtection="1">
      <protection hidden="1"/>
    </xf>
    <xf numFmtId="0" fontId="7" fillId="0" borderId="20" xfId="0" applyFont="1" applyBorder="1" applyAlignment="1" applyProtection="1">
      <alignment horizontal="center"/>
      <protection hidden="1"/>
    </xf>
    <xf numFmtId="177" fontId="7" fillId="0" borderId="60" xfId="0" applyNumberFormat="1" applyFont="1" applyBorder="1" applyProtection="1">
      <protection hidden="1"/>
    </xf>
    <xf numFmtId="0" fontId="4" fillId="0" borderId="0" xfId="0" applyFont="1" applyProtection="1">
      <protection hidden="1"/>
    </xf>
    <xf numFmtId="0" fontId="7" fillId="0" borderId="3" xfId="0" applyFont="1" applyBorder="1" applyAlignment="1" applyProtection="1">
      <alignment shrinkToFit="1"/>
      <protection hidden="1"/>
    </xf>
    <xf numFmtId="0" fontId="7" fillId="0" borderId="5" xfId="0" applyFont="1" applyBorder="1" applyAlignment="1" applyProtection="1">
      <alignment shrinkToFit="1"/>
      <protection hidden="1"/>
    </xf>
    <xf numFmtId="0" fontId="7" fillId="0" borderId="9" xfId="0" applyFont="1" applyBorder="1" applyAlignment="1" applyProtection="1">
      <alignment shrinkToFit="1"/>
      <protection hidden="1"/>
    </xf>
    <xf numFmtId="0" fontId="7" fillId="0" borderId="61" xfId="0" applyFont="1" applyBorder="1" applyAlignment="1" applyProtection="1">
      <alignment horizontal="center"/>
      <protection hidden="1"/>
    </xf>
    <xf numFmtId="0" fontId="7" fillId="0" borderId="61" xfId="0" applyFont="1" applyBorder="1" applyAlignment="1" applyProtection="1">
      <alignment horizontal="left"/>
      <protection hidden="1"/>
    </xf>
    <xf numFmtId="0" fontId="14" fillId="0" borderId="0" xfId="0" applyFont="1"/>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left"/>
    </xf>
    <xf numFmtId="0" fontId="18" fillId="0" borderId="62" xfId="0" applyFont="1" applyBorder="1" applyAlignment="1">
      <alignment vertical="center"/>
    </xf>
    <xf numFmtId="0" fontId="18" fillId="0" borderId="63" xfId="0" applyFont="1" applyBorder="1" applyAlignment="1">
      <alignment vertical="center"/>
    </xf>
    <xf numFmtId="179" fontId="18" fillId="0" borderId="62" xfId="0" applyNumberFormat="1" applyFont="1" applyBorder="1" applyAlignment="1">
      <alignment horizontal="center" vertical="center"/>
    </xf>
    <xf numFmtId="0" fontId="20" fillId="0" borderId="0" xfId="0" applyFont="1" applyAlignment="1">
      <alignment horizontal="left"/>
    </xf>
    <xf numFmtId="0" fontId="20" fillId="0" borderId="0" xfId="0" applyFont="1"/>
    <xf numFmtId="0" fontId="22" fillId="0" borderId="0" xfId="0" applyFont="1"/>
    <xf numFmtId="0" fontId="30" fillId="0" borderId="0" xfId="0" applyFont="1"/>
    <xf numFmtId="0" fontId="9" fillId="0" borderId="0" xfId="0" applyFont="1" applyAlignment="1" applyProtection="1">
      <alignment shrinkToFit="1"/>
      <protection hidden="1"/>
    </xf>
    <xf numFmtId="0" fontId="9" fillId="0" borderId="0" xfId="0" applyFont="1" applyProtection="1">
      <protection hidden="1"/>
    </xf>
    <xf numFmtId="0" fontId="4" fillId="0" borderId="0" xfId="0" applyFont="1" applyAlignment="1">
      <alignment horizontal="center" vertical="center" shrinkToFit="1"/>
    </xf>
    <xf numFmtId="176" fontId="4" fillId="0" borderId="0" xfId="0" applyNumberFormat="1" applyFont="1" applyAlignment="1">
      <alignment vertical="center" shrinkToFit="1"/>
    </xf>
    <xf numFmtId="0" fontId="35" fillId="0" borderId="0" xfId="0" applyFont="1" applyAlignment="1">
      <alignment vertical="center"/>
    </xf>
    <xf numFmtId="0" fontId="34" fillId="0" borderId="0" xfId="0" applyFont="1" applyAlignment="1" applyProtection="1">
      <alignment horizontal="left" vertical="center"/>
      <protection hidden="1"/>
    </xf>
    <xf numFmtId="180" fontId="9" fillId="0" borderId="0" xfId="0" applyNumberFormat="1" applyFont="1" applyProtection="1">
      <protection hidden="1"/>
    </xf>
    <xf numFmtId="0" fontId="23" fillId="0" borderId="0" xfId="0" applyFont="1" applyProtection="1">
      <protection hidden="1"/>
    </xf>
    <xf numFmtId="0" fontId="8" fillId="0" borderId="0" xfId="0" applyFont="1" applyAlignment="1" applyProtection="1">
      <alignment horizontal="left" vertical="center"/>
      <protection hidden="1"/>
    </xf>
    <xf numFmtId="0" fontId="47" fillId="0" borderId="0" xfId="0" applyFont="1" applyAlignment="1" applyProtection="1">
      <alignment horizontal="left" vertical="center"/>
      <protection hidden="1"/>
    </xf>
    <xf numFmtId="0" fontId="23" fillId="0" borderId="0" xfId="0" applyFont="1" applyAlignment="1">
      <alignment vertical="center"/>
    </xf>
    <xf numFmtId="0" fontId="48" fillId="0" borderId="0" xfId="0" applyFont="1" applyAlignment="1" applyProtection="1">
      <alignment horizontal="left" vertical="center"/>
      <protection hidden="1"/>
    </xf>
    <xf numFmtId="0" fontId="49" fillId="0" borderId="0" xfId="0" applyFont="1" applyAlignment="1" applyProtection="1">
      <alignment horizontal="left" vertical="center"/>
      <protection hidden="1"/>
    </xf>
    <xf numFmtId="0" fontId="50" fillId="0" borderId="0" xfId="0" applyFont="1"/>
    <xf numFmtId="180" fontId="51" fillId="0" borderId="0" xfId="0" applyNumberFormat="1" applyFont="1" applyProtection="1">
      <protection hidden="1"/>
    </xf>
    <xf numFmtId="0" fontId="18" fillId="0" borderId="62" xfId="0" applyFont="1" applyBorder="1" applyAlignment="1" applyProtection="1">
      <alignment vertical="center"/>
      <protection hidden="1"/>
    </xf>
    <xf numFmtId="0" fontId="34"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8" fillId="0" borderId="64" xfId="0" applyFont="1" applyBorder="1" applyAlignment="1" applyProtection="1">
      <alignment vertical="center"/>
      <protection hidden="1"/>
    </xf>
    <xf numFmtId="0" fontId="18" fillId="0" borderId="65" xfId="0" applyFont="1" applyBorder="1" applyAlignment="1" applyProtection="1">
      <alignment vertical="center"/>
      <protection hidden="1"/>
    </xf>
    <xf numFmtId="179" fontId="18" fillId="0" borderId="62" xfId="0" applyNumberFormat="1" applyFont="1" applyBorder="1" applyAlignment="1" applyProtection="1">
      <alignment horizontal="center" vertical="center"/>
      <protection hidden="1"/>
    </xf>
    <xf numFmtId="0" fontId="18" fillId="0" borderId="63" xfId="0" applyFont="1" applyBorder="1" applyAlignment="1" applyProtection="1">
      <alignment vertical="center"/>
      <protection hidden="1"/>
    </xf>
    <xf numFmtId="0" fontId="28" fillId="0" borderId="0" xfId="0" applyFont="1" applyAlignment="1" applyProtection="1">
      <alignment vertical="center"/>
      <protection hidden="1"/>
    </xf>
    <xf numFmtId="3" fontId="15" fillId="0" borderId="66" xfId="0" applyNumberFormat="1" applyFont="1" applyBorder="1" applyAlignment="1" applyProtection="1">
      <alignment horizontal="center" vertical="center"/>
      <protection hidden="1"/>
    </xf>
    <xf numFmtId="3" fontId="15" fillId="0" borderId="0" xfId="0" applyNumberFormat="1" applyFont="1" applyAlignment="1" applyProtection="1">
      <alignment horizontal="center" vertical="center"/>
      <protection hidden="1"/>
    </xf>
    <xf numFmtId="0" fontId="13" fillId="0" borderId="0" xfId="0" applyFont="1" applyAlignment="1" applyProtection="1">
      <alignment horizontal="center"/>
      <protection hidden="1"/>
    </xf>
    <xf numFmtId="3" fontId="15" fillId="0" borderId="0" xfId="0" applyNumberFormat="1" applyFont="1" applyAlignment="1" applyProtection="1">
      <alignment horizontal="right" vertical="center"/>
      <protection hidden="1"/>
    </xf>
    <xf numFmtId="0" fontId="18" fillId="0" borderId="0" xfId="0" applyFont="1" applyAlignment="1" applyProtection="1">
      <alignment vertical="center"/>
      <protection hidden="1"/>
    </xf>
    <xf numFmtId="0" fontId="24" fillId="0" borderId="0" xfId="0" applyFont="1" applyAlignment="1" applyProtection="1">
      <alignment vertical="center"/>
      <protection hidden="1"/>
    </xf>
    <xf numFmtId="0" fontId="18" fillId="0" borderId="66" xfId="0" applyFont="1" applyBorder="1" applyAlignment="1" applyProtection="1">
      <alignment vertical="center"/>
      <protection hidden="1"/>
    </xf>
    <xf numFmtId="0" fontId="14" fillId="0" borderId="0" xfId="0" applyFont="1" applyAlignment="1" applyProtection="1">
      <alignment vertical="center"/>
      <protection hidden="1"/>
    </xf>
    <xf numFmtId="0" fontId="13" fillId="0" borderId="0" xfId="0" applyFont="1" applyProtection="1">
      <protection hidden="1"/>
    </xf>
    <xf numFmtId="0" fontId="23" fillId="0" borderId="0" xfId="0" applyFont="1" applyAlignment="1" applyProtection="1">
      <alignment vertical="center"/>
      <protection hidden="1"/>
    </xf>
    <xf numFmtId="0" fontId="27" fillId="0" borderId="0" xfId="0" applyFont="1" applyAlignment="1" applyProtection="1">
      <alignment vertical="center"/>
      <protection hidden="1"/>
    </xf>
    <xf numFmtId="181" fontId="14" fillId="0" borderId="67" xfId="0" applyNumberFormat="1" applyFont="1" applyBorder="1" applyAlignment="1" applyProtection="1">
      <alignment horizontal="center" vertical="center"/>
      <protection hidden="1"/>
    </xf>
    <xf numFmtId="0" fontId="14" fillId="0" borderId="0" xfId="0" applyFont="1" applyProtection="1">
      <protection hidden="1"/>
    </xf>
    <xf numFmtId="0" fontId="15" fillId="0" borderId="0" xfId="0" applyFont="1" applyAlignment="1" applyProtection="1">
      <alignment horizontal="center" vertical="center"/>
      <protection hidden="1"/>
    </xf>
    <xf numFmtId="179" fontId="18" fillId="0" borderId="0" xfId="0" applyNumberFormat="1" applyFont="1" applyAlignment="1" applyProtection="1">
      <alignment horizontal="center" vertical="center"/>
      <protection hidden="1"/>
    </xf>
    <xf numFmtId="3" fontId="17" fillId="0" borderId="0" xfId="0" applyNumberFormat="1" applyFont="1" applyAlignment="1" applyProtection="1">
      <alignment horizontal="right" vertical="center"/>
      <protection hidden="1"/>
    </xf>
    <xf numFmtId="0" fontId="20" fillId="0" borderId="0" xfId="0" applyFont="1" applyProtection="1">
      <protection hidden="1"/>
    </xf>
    <xf numFmtId="0" fontId="42" fillId="0" borderId="0" xfId="0" applyFont="1" applyAlignment="1" applyProtection="1">
      <alignment vertical="center"/>
      <protection hidden="1"/>
    </xf>
    <xf numFmtId="0" fontId="20" fillId="0" borderId="0" xfId="0" applyFont="1" applyAlignment="1" applyProtection="1">
      <alignment vertical="center"/>
      <protection hidden="1"/>
    </xf>
    <xf numFmtId="0" fontId="44" fillId="0" borderId="0" xfId="0" applyFont="1" applyAlignment="1" applyProtection="1">
      <alignment vertical="center"/>
      <protection hidden="1"/>
    </xf>
    <xf numFmtId="0" fontId="45" fillId="0" borderId="0" xfId="0" applyFont="1" applyAlignment="1" applyProtection="1">
      <alignment vertical="center"/>
      <protection hidden="1"/>
    </xf>
    <xf numFmtId="0" fontId="40" fillId="0" borderId="0" xfId="0" applyFont="1" applyProtection="1">
      <protection hidden="1"/>
    </xf>
    <xf numFmtId="0" fontId="14" fillId="0" borderId="0" xfId="0" applyFont="1" applyAlignment="1" applyProtection="1">
      <alignment horizontal="left"/>
      <protection hidden="1"/>
    </xf>
    <xf numFmtId="0" fontId="14" fillId="0" borderId="0" xfId="0" applyFont="1" applyAlignment="1" applyProtection="1">
      <alignment horizontal="right"/>
      <protection hidden="1"/>
    </xf>
    <xf numFmtId="0" fontId="14" fillId="0" borderId="0" xfId="0" applyFont="1" applyAlignment="1" applyProtection="1">
      <alignment horizontal="right" vertical="center"/>
      <protection hidden="1"/>
    </xf>
    <xf numFmtId="0" fontId="20" fillId="0" borderId="0" xfId="0" applyFont="1" applyAlignment="1" applyProtection="1">
      <alignment horizontal="right"/>
      <protection hidden="1"/>
    </xf>
    <xf numFmtId="0" fontId="15" fillId="0" borderId="0" xfId="0" applyFont="1" applyAlignment="1" applyProtection="1">
      <alignment horizontal="left"/>
      <protection hidden="1"/>
    </xf>
    <xf numFmtId="0" fontId="15"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43" fillId="0" borderId="0" xfId="0" applyFont="1" applyProtection="1">
      <protection hidden="1"/>
    </xf>
    <xf numFmtId="0" fontId="26" fillId="0" borderId="0" xfId="0" applyFont="1" applyProtection="1">
      <protection hidden="1"/>
    </xf>
    <xf numFmtId="0" fontId="27" fillId="0" borderId="0" xfId="0" applyFont="1" applyProtection="1">
      <protection hidden="1"/>
    </xf>
    <xf numFmtId="0" fontId="25"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36" fillId="0" borderId="0" xfId="0" applyFont="1" applyAlignment="1" applyProtection="1">
      <alignment vertical="center"/>
      <protection hidden="1"/>
    </xf>
    <xf numFmtId="0" fontId="37" fillId="0" borderId="0" xfId="0" applyFont="1" applyAlignment="1" applyProtection="1">
      <alignment vertical="center"/>
      <protection hidden="1"/>
    </xf>
    <xf numFmtId="0" fontId="35" fillId="0" borderId="0" xfId="0" applyFont="1" applyAlignment="1" applyProtection="1">
      <alignment vertical="center"/>
      <protection hidden="1"/>
    </xf>
    <xf numFmtId="0" fontId="15" fillId="0" borderId="0" xfId="0" applyFont="1" applyAlignment="1" applyProtection="1">
      <alignment horizontal="left" vertical="top"/>
      <protection hidden="1"/>
    </xf>
    <xf numFmtId="0" fontId="13" fillId="0" borderId="0" xfId="0" applyFont="1" applyAlignment="1" applyProtection="1">
      <alignment horizontal="center"/>
      <protection locked="0" hidden="1"/>
    </xf>
    <xf numFmtId="0" fontId="18" fillId="0" borderId="0" xfId="0" applyFont="1" applyProtection="1">
      <protection hidden="1"/>
    </xf>
    <xf numFmtId="0" fontId="18" fillId="0" borderId="0" xfId="0" applyFont="1" applyAlignment="1" applyProtection="1">
      <alignment horizontal="left"/>
      <protection hidden="1"/>
    </xf>
    <xf numFmtId="0" fontId="18" fillId="0" borderId="0" xfId="0" applyFont="1" applyAlignment="1" applyProtection="1">
      <alignment horizontal="center"/>
      <protection hidden="1"/>
    </xf>
    <xf numFmtId="0" fontId="52" fillId="0" borderId="0" xfId="0" applyFont="1" applyProtection="1">
      <protection hidden="1"/>
    </xf>
    <xf numFmtId="0" fontId="52" fillId="0" borderId="0" xfId="0" applyFont="1" applyAlignment="1" applyProtection="1">
      <alignment vertical="center"/>
      <protection hidden="1"/>
    </xf>
    <xf numFmtId="0" fontId="53" fillId="0" borderId="0" xfId="0" applyFont="1" applyAlignment="1" applyProtection="1">
      <alignment vertical="center"/>
      <protection hidden="1"/>
    </xf>
    <xf numFmtId="0" fontId="54" fillId="0" borderId="0" xfId="0" applyFont="1" applyAlignment="1" applyProtection="1">
      <alignment vertical="center"/>
      <protection hidden="1"/>
    </xf>
    <xf numFmtId="0" fontId="52" fillId="0" borderId="0" xfId="0" applyFont="1" applyAlignment="1">
      <alignment vertical="center"/>
    </xf>
    <xf numFmtId="0" fontId="7" fillId="0" borderId="68" xfId="0" applyFont="1" applyBorder="1" applyProtection="1">
      <protection hidden="1"/>
    </xf>
    <xf numFmtId="0" fontId="28" fillId="4" borderId="0" xfId="0" applyFont="1" applyFill="1" applyAlignment="1" applyProtection="1">
      <alignment vertical="center"/>
      <protection hidden="1"/>
    </xf>
    <xf numFmtId="0" fontId="0" fillId="0" borderId="0" xfId="0" applyAlignment="1">
      <alignment horizontal="center" shrinkToFit="1"/>
    </xf>
    <xf numFmtId="0" fontId="0" fillId="12" borderId="0" xfId="0" applyFill="1" applyAlignment="1" applyProtection="1">
      <alignment horizontal="center"/>
      <protection hidden="1"/>
    </xf>
    <xf numFmtId="0" fontId="63" fillId="0" borderId="0" xfId="0" applyFont="1" applyAlignment="1" applyProtection="1">
      <alignment horizontal="center" vertical="center"/>
      <protection hidden="1"/>
    </xf>
    <xf numFmtId="0" fontId="8" fillId="3" borderId="69" xfId="0" applyFont="1" applyFill="1" applyBorder="1" applyAlignment="1" applyProtection="1">
      <alignment horizontal="center" vertical="center"/>
      <protection hidden="1"/>
    </xf>
    <xf numFmtId="0" fontId="8" fillId="3" borderId="19" xfId="0" applyFont="1" applyFill="1" applyBorder="1" applyAlignment="1" applyProtection="1">
      <alignment horizontal="center" vertical="center" wrapText="1"/>
      <protection hidden="1"/>
    </xf>
    <xf numFmtId="176" fontId="5" fillId="12" borderId="52" xfId="0" applyNumberFormat="1" applyFont="1" applyFill="1" applyBorder="1" applyProtection="1">
      <protection hidden="1"/>
    </xf>
    <xf numFmtId="176" fontId="5" fillId="12" borderId="42" xfId="0" applyNumberFormat="1" applyFont="1" applyFill="1" applyBorder="1" applyProtection="1">
      <protection hidden="1"/>
    </xf>
    <xf numFmtId="176" fontId="5" fillId="12" borderId="41" xfId="0" applyNumberFormat="1" applyFont="1" applyFill="1" applyBorder="1" applyProtection="1">
      <protection hidden="1"/>
    </xf>
    <xf numFmtId="176" fontId="5" fillId="12" borderId="70" xfId="0" applyNumberFormat="1" applyFont="1" applyFill="1" applyBorder="1" applyProtection="1">
      <protection hidden="1"/>
    </xf>
    <xf numFmtId="176" fontId="5" fillId="12" borderId="30" xfId="0" applyNumberFormat="1" applyFont="1" applyFill="1" applyBorder="1" applyProtection="1">
      <protection hidden="1"/>
    </xf>
    <xf numFmtId="176" fontId="5" fillId="12" borderId="56" xfId="0" applyNumberFormat="1" applyFont="1" applyFill="1" applyBorder="1" applyProtection="1">
      <protection hidden="1"/>
    </xf>
    <xf numFmtId="0" fontId="0" fillId="0" borderId="71" xfId="0"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64" fillId="0" borderId="0" xfId="0" applyFont="1" applyAlignment="1">
      <alignment horizontal="right" vertical="center"/>
    </xf>
    <xf numFmtId="0" fontId="6" fillId="0" borderId="72" xfId="0" applyFont="1" applyBorder="1" applyAlignment="1">
      <alignment vertical="center"/>
    </xf>
    <xf numFmtId="186" fontId="6" fillId="0" borderId="73" xfId="0" applyNumberFormat="1" applyFont="1" applyBorder="1" applyAlignment="1">
      <alignment horizontal="right" vertical="center" shrinkToFit="1"/>
    </xf>
    <xf numFmtId="0" fontId="6" fillId="0" borderId="74" xfId="0" applyFont="1" applyBorder="1" applyAlignment="1">
      <alignment vertical="center"/>
    </xf>
    <xf numFmtId="186" fontId="6" fillId="0" borderId="75" xfId="0" applyNumberFormat="1" applyFont="1" applyBorder="1" applyAlignment="1">
      <alignment horizontal="right" vertical="center" shrinkToFit="1"/>
    </xf>
    <xf numFmtId="0" fontId="0" fillId="0" borderId="76" xfId="0" applyBorder="1" applyAlignment="1">
      <alignment horizontal="center" vertical="center"/>
    </xf>
    <xf numFmtId="0" fontId="0" fillId="0" borderId="77" xfId="0" applyBorder="1" applyAlignment="1">
      <alignment horizontal="center" vertical="center"/>
    </xf>
    <xf numFmtId="0" fontId="59" fillId="0" borderId="0" xfId="0" applyFont="1" applyAlignment="1">
      <alignment horizontal="center" vertical="center"/>
    </xf>
    <xf numFmtId="185" fontId="0" fillId="0" borderId="78" xfId="0" applyNumberFormat="1" applyBorder="1" applyAlignment="1">
      <alignment horizontal="center" vertical="center"/>
    </xf>
    <xf numFmtId="185" fontId="0" fillId="0" borderId="79" xfId="0" applyNumberFormat="1" applyBorder="1" applyAlignment="1">
      <alignment horizontal="center" vertical="center"/>
    </xf>
    <xf numFmtId="0" fontId="58" fillId="0" borderId="0" xfId="0" applyFont="1" applyAlignment="1" applyProtection="1">
      <alignment horizontal="left" vertical="center"/>
      <protection hidden="1"/>
    </xf>
    <xf numFmtId="0" fontId="64" fillId="0" borderId="0" xfId="0" applyFont="1" applyAlignment="1">
      <alignment vertical="center"/>
    </xf>
    <xf numFmtId="10" fontId="63" fillId="0" borderId="86" xfId="0" applyNumberFormat="1" applyFont="1" applyBorder="1" applyAlignment="1">
      <alignment vertical="center"/>
    </xf>
    <xf numFmtId="184" fontId="63" fillId="0" borderId="87" xfId="0" applyNumberFormat="1" applyFont="1" applyBorder="1" applyAlignment="1">
      <alignment vertical="center"/>
    </xf>
    <xf numFmtId="184" fontId="63" fillId="0" borderId="88" xfId="0" applyNumberFormat="1" applyFont="1" applyBorder="1" applyAlignment="1">
      <alignment vertical="center"/>
    </xf>
    <xf numFmtId="10" fontId="63" fillId="0" borderId="89" xfId="0" applyNumberFormat="1" applyFont="1" applyBorder="1" applyAlignment="1">
      <alignment vertical="center"/>
    </xf>
    <xf numFmtId="184" fontId="63" fillId="0" borderId="90" xfId="0" applyNumberFormat="1" applyFont="1" applyBorder="1" applyAlignment="1">
      <alignment vertical="center"/>
    </xf>
    <xf numFmtId="10" fontId="63" fillId="0" borderId="91" xfId="0" applyNumberFormat="1" applyFont="1" applyBorder="1" applyAlignment="1">
      <alignment vertical="center"/>
    </xf>
    <xf numFmtId="184" fontId="63" fillId="0" borderId="92" xfId="0" applyNumberFormat="1" applyFont="1" applyBorder="1" applyAlignment="1">
      <alignment vertical="center"/>
    </xf>
    <xf numFmtId="176" fontId="3" fillId="13" borderId="108" xfId="0" applyNumberFormat="1" applyFont="1" applyFill="1" applyBorder="1" applyAlignment="1">
      <alignment shrinkToFit="1"/>
    </xf>
    <xf numFmtId="176" fontId="3" fillId="13" borderId="109" xfId="0" applyNumberFormat="1" applyFont="1" applyFill="1" applyBorder="1" applyAlignment="1">
      <alignment shrinkToFit="1"/>
    </xf>
    <xf numFmtId="176" fontId="3" fillId="13" borderId="7" xfId="0" applyNumberFormat="1" applyFont="1" applyFill="1" applyBorder="1" applyAlignment="1">
      <alignment shrinkToFit="1"/>
    </xf>
    <xf numFmtId="176" fontId="3" fillId="13" borderId="8" xfId="0" applyNumberFormat="1" applyFont="1" applyFill="1" applyBorder="1" applyAlignment="1">
      <alignment shrinkToFit="1"/>
    </xf>
    <xf numFmtId="0" fontId="65" fillId="0" borderId="0" xfId="0" applyFont="1"/>
    <xf numFmtId="176" fontId="3" fillId="13" borderId="72" xfId="0" applyNumberFormat="1" applyFont="1" applyFill="1" applyBorder="1" applyAlignment="1">
      <alignment shrinkToFit="1"/>
    </xf>
    <xf numFmtId="176" fontId="3" fillId="0" borderId="110" xfId="0" applyNumberFormat="1" applyFont="1" applyBorder="1" applyAlignment="1">
      <alignment shrinkToFit="1"/>
    </xf>
    <xf numFmtId="0" fontId="66" fillId="0" borderId="0" xfId="0" applyFont="1" applyAlignment="1" applyProtection="1">
      <alignment vertical="center"/>
      <protection hidden="1"/>
    </xf>
    <xf numFmtId="0" fontId="0" fillId="14" borderId="111" xfId="0" applyFill="1" applyBorder="1" applyProtection="1">
      <protection hidden="1"/>
    </xf>
    <xf numFmtId="0" fontId="0" fillId="14" borderId="112" xfId="0" applyFill="1" applyBorder="1"/>
    <xf numFmtId="0" fontId="0" fillId="14" borderId="113" xfId="0" applyFill="1" applyBorder="1"/>
    <xf numFmtId="0" fontId="0" fillId="14" borderId="114" xfId="0" applyFill="1" applyBorder="1"/>
    <xf numFmtId="0" fontId="0" fillId="14" borderId="115" xfId="0" applyFill="1" applyBorder="1" applyProtection="1">
      <protection hidden="1"/>
    </xf>
    <xf numFmtId="0" fontId="0" fillId="14" borderId="0" xfId="0" applyFill="1"/>
    <xf numFmtId="0" fontId="39" fillId="14" borderId="0" xfId="0" applyFont="1" applyFill="1" applyAlignment="1">
      <alignment horizontal="center" vertical="center"/>
    </xf>
    <xf numFmtId="0" fontId="14" fillId="14" borderId="114" xfId="0" applyFont="1" applyFill="1" applyBorder="1" applyAlignment="1">
      <alignment vertical="center"/>
    </xf>
    <xf numFmtId="0" fontId="14" fillId="14" borderId="97" xfId="0" applyFont="1" applyFill="1" applyBorder="1" applyAlignment="1" applyProtection="1">
      <alignment vertical="center"/>
      <protection hidden="1"/>
    </xf>
    <xf numFmtId="0" fontId="14" fillId="14" borderId="116" xfId="0" applyFont="1" applyFill="1" applyBorder="1" applyAlignment="1">
      <alignment vertical="center"/>
    </xf>
    <xf numFmtId="0" fontId="14" fillId="14" borderId="95" xfId="0" applyFont="1" applyFill="1" applyBorder="1" applyAlignment="1">
      <alignment vertical="center"/>
    </xf>
    <xf numFmtId="0" fontId="62" fillId="14" borderId="0" xfId="0" applyFont="1" applyFill="1" applyAlignment="1">
      <alignment vertical="center"/>
    </xf>
    <xf numFmtId="187" fontId="39" fillId="14" borderId="0" xfId="0" applyNumberFormat="1" applyFont="1" applyFill="1" applyAlignment="1">
      <alignment horizontal="left" vertical="center"/>
    </xf>
    <xf numFmtId="0" fontId="16" fillId="0" borderId="243" xfId="0" applyFont="1" applyBorder="1" applyAlignment="1">
      <alignment vertical="center"/>
    </xf>
    <xf numFmtId="0" fontId="70" fillId="0" borderId="0" xfId="0" applyFont="1" applyAlignment="1">
      <alignment vertical="center"/>
    </xf>
    <xf numFmtId="0" fontId="70" fillId="17" borderId="0" xfId="0" applyFont="1" applyFill="1" applyAlignment="1" applyProtection="1">
      <alignment vertical="center"/>
      <protection hidden="1"/>
    </xf>
    <xf numFmtId="180" fontId="71" fillId="17" borderId="0" xfId="0" applyNumberFormat="1" applyFont="1" applyFill="1" applyProtection="1">
      <protection hidden="1"/>
    </xf>
    <xf numFmtId="0" fontId="70" fillId="17" borderId="0" xfId="0" applyFont="1" applyFill="1" applyAlignment="1" applyProtection="1">
      <alignment vertical="top" wrapText="1"/>
      <protection hidden="1"/>
    </xf>
    <xf numFmtId="0" fontId="69" fillId="0" borderId="0" xfId="0" applyFont="1"/>
    <xf numFmtId="176" fontId="5" fillId="0" borderId="245" xfId="0" applyNumberFormat="1" applyFont="1" applyBorder="1" applyProtection="1">
      <protection hidden="1"/>
    </xf>
    <xf numFmtId="176" fontId="5" fillId="0" borderId="246" xfId="0" applyNumberFormat="1" applyFont="1" applyBorder="1" applyProtection="1">
      <protection hidden="1"/>
    </xf>
    <xf numFmtId="0" fontId="0" fillId="0" borderId="0" xfId="0" applyProtection="1">
      <protection locked="0"/>
    </xf>
    <xf numFmtId="0" fontId="0" fillId="18" borderId="82" xfId="0" applyFill="1" applyBorder="1" applyAlignment="1" applyProtection="1">
      <alignment horizontal="center" vertical="center"/>
      <protection locked="0"/>
    </xf>
    <xf numFmtId="0" fontId="0" fillId="18" borderId="80" xfId="0" applyFill="1" applyBorder="1" applyAlignment="1" applyProtection="1">
      <alignment horizontal="center" vertical="center"/>
      <protection locked="0"/>
    </xf>
    <xf numFmtId="0" fontId="0" fillId="18" borderId="83" xfId="0" applyFill="1" applyBorder="1" applyAlignment="1" applyProtection="1">
      <alignment horizontal="center" vertical="center"/>
      <protection locked="0"/>
    </xf>
    <xf numFmtId="0" fontId="0" fillId="18" borderId="84" xfId="0" applyFill="1" applyBorder="1" applyAlignment="1" applyProtection="1">
      <alignment horizontal="center" vertical="center"/>
      <protection locked="0"/>
    </xf>
    <xf numFmtId="0" fontId="0" fillId="18" borderId="85" xfId="0" applyFill="1" applyBorder="1" applyAlignment="1" applyProtection="1">
      <alignment horizontal="center" vertical="center"/>
      <protection locked="0"/>
    </xf>
    <xf numFmtId="0" fontId="0" fillId="18" borderId="81" xfId="0" applyFill="1" applyBorder="1" applyAlignment="1" applyProtection="1">
      <alignment horizontal="center" vertical="center"/>
      <protection locked="0"/>
    </xf>
    <xf numFmtId="0" fontId="0" fillId="18" borderId="93" xfId="0" applyFill="1" applyBorder="1" applyAlignment="1" applyProtection="1">
      <alignment horizontal="center" vertical="center"/>
      <protection locked="0"/>
    </xf>
    <xf numFmtId="0" fontId="0" fillId="18" borderId="94" xfId="0" applyFill="1" applyBorder="1" applyAlignment="1" applyProtection="1">
      <alignment horizontal="center" vertical="center"/>
      <protection locked="0"/>
    </xf>
    <xf numFmtId="0" fontId="0" fillId="18" borderId="100" xfId="0" applyFill="1" applyBorder="1" applyAlignment="1" applyProtection="1">
      <alignment horizontal="center" vertical="center"/>
      <protection locked="0"/>
    </xf>
    <xf numFmtId="0" fontId="0" fillId="18" borderId="101" xfId="0" applyFill="1" applyBorder="1" applyAlignment="1" applyProtection="1">
      <alignment horizontal="center" vertical="center"/>
      <protection locked="0"/>
    </xf>
    <xf numFmtId="0" fontId="0" fillId="18" borderId="0" xfId="0" applyFill="1" applyProtection="1">
      <protection locked="0"/>
    </xf>
    <xf numFmtId="178" fontId="0" fillId="0" borderId="95" xfId="0" applyNumberFormat="1" applyBorder="1" applyAlignment="1" applyProtection="1">
      <alignment vertical="center"/>
      <protection locked="0"/>
    </xf>
    <xf numFmtId="178" fontId="0" fillId="0" borderId="96" xfId="0" applyNumberFormat="1" applyBorder="1" applyAlignment="1" applyProtection="1">
      <alignment vertical="center"/>
      <protection locked="0"/>
    </xf>
    <xf numFmtId="178" fontId="0" fillId="0" borderId="97" xfId="0" applyNumberFormat="1" applyBorder="1" applyAlignment="1" applyProtection="1">
      <alignment vertical="center"/>
      <protection locked="0"/>
    </xf>
    <xf numFmtId="178" fontId="0" fillId="0" borderId="98" xfId="0" applyNumberFormat="1" applyBorder="1" applyAlignment="1" applyProtection="1">
      <alignment vertical="center"/>
      <protection locked="0"/>
    </xf>
    <xf numFmtId="178" fontId="0" fillId="0" borderId="99" xfId="0" applyNumberFormat="1" applyBorder="1" applyAlignment="1" applyProtection="1">
      <alignment vertical="center"/>
      <protection locked="0"/>
    </xf>
    <xf numFmtId="10" fontId="0" fillId="0" borderId="95" xfId="0" applyNumberFormat="1" applyBorder="1" applyAlignment="1" applyProtection="1">
      <alignment vertical="center"/>
      <protection locked="0"/>
    </xf>
    <xf numFmtId="10" fontId="0" fillId="0" borderId="98" xfId="0" applyNumberFormat="1" applyBorder="1" applyAlignment="1" applyProtection="1">
      <alignment vertical="center"/>
      <protection locked="0"/>
    </xf>
    <xf numFmtId="178" fontId="0" fillId="0" borderId="94" xfId="0" applyNumberFormat="1" applyBorder="1" applyAlignment="1" applyProtection="1">
      <alignment vertical="center"/>
      <protection locked="0"/>
    </xf>
    <xf numFmtId="178" fontId="0" fillId="0" borderId="102" xfId="0" applyNumberFormat="1" applyBorder="1" applyAlignment="1" applyProtection="1">
      <alignment vertical="center"/>
      <protection locked="0"/>
    </xf>
    <xf numFmtId="178" fontId="0" fillId="0" borderId="103" xfId="0" applyNumberFormat="1" applyBorder="1" applyAlignment="1" applyProtection="1">
      <alignment vertical="center"/>
      <protection locked="0"/>
    </xf>
    <xf numFmtId="178" fontId="0" fillId="0" borderId="104" xfId="0" applyNumberFormat="1" applyBorder="1" applyAlignment="1" applyProtection="1">
      <alignment vertical="center"/>
      <protection locked="0"/>
    </xf>
    <xf numFmtId="178" fontId="0" fillId="0" borderId="105" xfId="0" applyNumberFormat="1" applyBorder="1" applyAlignment="1" applyProtection="1">
      <alignment vertical="center"/>
      <protection locked="0"/>
    </xf>
    <xf numFmtId="178" fontId="0" fillId="0" borderId="106" xfId="0" applyNumberFormat="1" applyBorder="1" applyAlignment="1" applyProtection="1">
      <alignment vertical="center"/>
      <protection locked="0"/>
    </xf>
    <xf numFmtId="10" fontId="0" fillId="0" borderId="102" xfId="0" applyNumberFormat="1" applyBorder="1" applyAlignment="1" applyProtection="1">
      <alignment vertical="center"/>
      <protection locked="0"/>
    </xf>
    <xf numFmtId="10" fontId="0" fillId="0" borderId="105" xfId="0" applyNumberFormat="1" applyBorder="1" applyAlignment="1" applyProtection="1">
      <alignment vertical="center"/>
      <protection locked="0"/>
    </xf>
    <xf numFmtId="178" fontId="0" fillId="0" borderId="101" xfId="0" applyNumberFormat="1" applyBorder="1" applyAlignment="1" applyProtection="1">
      <alignment vertical="center"/>
      <protection locked="0"/>
    </xf>
    <xf numFmtId="178" fontId="0" fillId="0" borderId="82" xfId="0" applyNumberFormat="1" applyBorder="1" applyAlignment="1" applyProtection="1">
      <alignment vertical="center"/>
      <protection locked="0"/>
    </xf>
    <xf numFmtId="178" fontId="0" fillId="0" borderId="80" xfId="0" applyNumberFormat="1" applyBorder="1" applyAlignment="1" applyProtection="1">
      <alignment vertical="center"/>
      <protection locked="0"/>
    </xf>
    <xf numFmtId="178" fontId="0" fillId="0" borderId="83" xfId="0" applyNumberFormat="1" applyBorder="1" applyAlignment="1" applyProtection="1">
      <alignment vertical="center"/>
      <protection locked="0"/>
    </xf>
    <xf numFmtId="178" fontId="0" fillId="0" borderId="85" xfId="0" applyNumberFormat="1" applyBorder="1" applyAlignment="1" applyProtection="1">
      <alignment vertical="center"/>
      <protection locked="0"/>
    </xf>
    <xf numFmtId="10" fontId="0" fillId="0" borderId="82" xfId="0" applyNumberFormat="1" applyBorder="1" applyAlignment="1" applyProtection="1">
      <alignment vertical="center"/>
      <protection locked="0"/>
    </xf>
    <xf numFmtId="10" fontId="0" fillId="0" borderId="84" xfId="0" applyNumberFormat="1" applyBorder="1" applyAlignment="1" applyProtection="1">
      <alignment vertical="center"/>
      <protection locked="0"/>
    </xf>
    <xf numFmtId="178" fontId="0" fillId="0" borderId="81" xfId="0" applyNumberFormat="1" applyBorder="1" applyAlignment="1" applyProtection="1">
      <alignment vertical="center"/>
      <protection locked="0"/>
    </xf>
    <xf numFmtId="176" fontId="73" fillId="0" borderId="6" xfId="0" applyNumberFormat="1" applyFont="1" applyBorder="1"/>
    <xf numFmtId="176" fontId="73" fillId="0" borderId="8" xfId="0" applyNumberFormat="1" applyFont="1" applyBorder="1"/>
    <xf numFmtId="178" fontId="69" fillId="0" borderId="105" xfId="0" applyNumberFormat="1" applyFont="1" applyBorder="1" applyAlignment="1" applyProtection="1">
      <alignment vertical="center"/>
      <protection locked="0"/>
    </xf>
    <xf numFmtId="178" fontId="69" fillId="0" borderId="103" xfId="0" applyNumberFormat="1" applyFont="1" applyBorder="1" applyAlignment="1" applyProtection="1">
      <alignment vertical="center"/>
      <protection locked="0"/>
    </xf>
    <xf numFmtId="178" fontId="69" fillId="0" borderId="106" xfId="0" applyNumberFormat="1" applyFont="1" applyBorder="1" applyAlignment="1" applyProtection="1">
      <alignment vertical="center"/>
      <protection locked="0"/>
    </xf>
    <xf numFmtId="0" fontId="64" fillId="0" borderId="0" xfId="0" applyFont="1"/>
    <xf numFmtId="178" fontId="69" fillId="0" borderId="84" xfId="0" applyNumberFormat="1" applyFont="1" applyBorder="1" applyAlignment="1" applyProtection="1">
      <alignment vertical="center"/>
      <protection locked="0"/>
    </xf>
    <xf numFmtId="178" fontId="69" fillId="0" borderId="80" xfId="0" applyNumberFormat="1" applyFont="1" applyBorder="1" applyAlignment="1" applyProtection="1">
      <alignment vertical="center"/>
      <protection locked="0"/>
    </xf>
    <xf numFmtId="178" fontId="69" fillId="0" borderId="85" xfId="0" applyNumberFormat="1" applyFont="1" applyBorder="1" applyAlignment="1" applyProtection="1">
      <alignment vertical="center"/>
      <protection locked="0"/>
    </xf>
    <xf numFmtId="3" fontId="0" fillId="0" borderId="0" xfId="0" applyNumberFormat="1"/>
    <xf numFmtId="178" fontId="69" fillId="0" borderId="102" xfId="0" applyNumberFormat="1" applyFont="1" applyBorder="1" applyAlignment="1" applyProtection="1">
      <alignment vertical="center"/>
      <protection locked="0"/>
    </xf>
    <xf numFmtId="178" fontId="0" fillId="0" borderId="84" xfId="0" applyNumberFormat="1" applyBorder="1" applyAlignment="1" applyProtection="1">
      <alignment vertical="center"/>
      <protection locked="0"/>
    </xf>
    <xf numFmtId="10" fontId="69" fillId="0" borderId="102" xfId="0" applyNumberFormat="1" applyFont="1" applyBorder="1" applyAlignment="1" applyProtection="1">
      <alignment vertical="center"/>
      <protection locked="0"/>
    </xf>
    <xf numFmtId="178" fontId="69" fillId="0" borderId="104" xfId="0" applyNumberFormat="1" applyFont="1" applyBorder="1" applyAlignment="1" applyProtection="1">
      <alignment vertical="center"/>
      <protection locked="0"/>
    </xf>
    <xf numFmtId="0" fontId="15" fillId="0" borderId="0" xfId="0" applyFont="1" applyAlignment="1" applyProtection="1">
      <alignment vertical="top"/>
      <protection hidden="1"/>
    </xf>
    <xf numFmtId="0" fontId="14" fillId="0" borderId="67" xfId="0" applyFont="1" applyBorder="1" applyAlignment="1" applyProtection="1">
      <alignment horizontal="left" vertical="center"/>
      <protection hidden="1"/>
    </xf>
    <xf numFmtId="181" fontId="14" fillId="0" borderId="136" xfId="0" applyNumberFormat="1" applyFont="1" applyBorder="1" applyAlignment="1" applyProtection="1">
      <alignment horizontal="center" vertical="center"/>
      <protection hidden="1"/>
    </xf>
    <xf numFmtId="0" fontId="0" fillId="18" borderId="107" xfId="0" applyFill="1" applyBorder="1" applyAlignment="1" applyProtection="1">
      <alignment horizontal="center" vertical="center"/>
      <protection locked="0"/>
    </xf>
    <xf numFmtId="0" fontId="74" fillId="0" borderId="0" xfId="0" applyFont="1" applyProtection="1">
      <protection hidden="1"/>
    </xf>
    <xf numFmtId="178" fontId="0" fillId="20" borderId="104" xfId="0" applyNumberFormat="1" applyFill="1" applyBorder="1" applyAlignment="1" applyProtection="1">
      <alignment vertical="center"/>
      <protection locked="0"/>
    </xf>
    <xf numFmtId="178" fontId="0" fillId="20" borderId="105" xfId="0" applyNumberFormat="1" applyFill="1" applyBorder="1" applyAlignment="1" applyProtection="1">
      <alignment vertical="center"/>
      <protection locked="0"/>
    </xf>
    <xf numFmtId="178" fontId="0" fillId="20" borderId="106" xfId="0" applyNumberFormat="1" applyFill="1" applyBorder="1" applyAlignment="1" applyProtection="1">
      <alignment vertical="center"/>
      <protection locked="0"/>
    </xf>
    <xf numFmtId="178" fontId="69" fillId="20" borderId="103" xfId="0" applyNumberFormat="1" applyFont="1" applyFill="1" applyBorder="1" applyAlignment="1" applyProtection="1">
      <alignment vertical="center"/>
      <protection locked="0"/>
    </xf>
    <xf numFmtId="178" fontId="0" fillId="20" borderId="101" xfId="0" applyNumberFormat="1" applyFill="1" applyBorder="1" applyAlignment="1" applyProtection="1">
      <alignment vertical="center"/>
      <protection locked="0"/>
    </xf>
    <xf numFmtId="0" fontId="0" fillId="18" borderId="85" xfId="0" applyFill="1" applyBorder="1" applyAlignment="1" applyProtection="1">
      <alignment horizontal="center" vertical="center" shrinkToFit="1"/>
      <protection locked="0"/>
    </xf>
    <xf numFmtId="0" fontId="70" fillId="0" borderId="66" xfId="0" applyFont="1" applyBorder="1" applyAlignment="1" applyProtection="1">
      <alignment vertical="center"/>
      <protection hidden="1"/>
    </xf>
    <xf numFmtId="0" fontId="15" fillId="19" borderId="41" xfId="0" quotePrefix="1" applyFont="1" applyFill="1" applyBorder="1" applyAlignment="1" applyProtection="1">
      <alignment horizontal="center" vertical="center"/>
      <protection locked="0"/>
    </xf>
    <xf numFmtId="176" fontId="3" fillId="0" borderId="146" xfId="0" applyNumberFormat="1" applyFont="1" applyBorder="1" applyAlignment="1">
      <alignment vertical="center" shrinkToFit="1"/>
    </xf>
    <xf numFmtId="176" fontId="3" fillId="0" borderId="118" xfId="0" applyNumberFormat="1" applyFont="1" applyBorder="1" applyAlignment="1">
      <alignment shrinkToFit="1"/>
    </xf>
    <xf numFmtId="176" fontId="3" fillId="0" borderId="138" xfId="0" applyNumberFormat="1" applyFont="1" applyBorder="1" applyAlignment="1">
      <alignment shrinkToFit="1"/>
    </xf>
    <xf numFmtId="176" fontId="3" fillId="0" borderId="248" xfId="0" applyNumberFormat="1" applyFont="1" applyBorder="1" applyAlignment="1">
      <alignment shrinkToFit="1"/>
    </xf>
    <xf numFmtId="176" fontId="3" fillId="0" borderId="0" xfId="0" applyNumberFormat="1" applyFont="1" applyAlignment="1">
      <alignment horizontal="center" vertical="center" shrinkToFit="1"/>
    </xf>
    <xf numFmtId="176" fontId="3" fillId="0" borderId="27" xfId="0" applyNumberFormat="1" applyFont="1" applyBorder="1" applyAlignment="1">
      <alignment shrinkToFit="1"/>
    </xf>
    <xf numFmtId="176" fontId="3" fillId="0" borderId="246" xfId="0" applyNumberFormat="1" applyFont="1" applyBorder="1" applyAlignment="1">
      <alignment shrinkToFit="1"/>
    </xf>
    <xf numFmtId="178" fontId="69" fillId="20" borderId="102" xfId="0" applyNumberFormat="1" applyFont="1" applyFill="1" applyBorder="1" applyAlignment="1" applyProtection="1">
      <alignment vertical="center"/>
      <protection locked="0"/>
    </xf>
    <xf numFmtId="10" fontId="0" fillId="20" borderId="102" xfId="0" applyNumberFormat="1" applyFill="1" applyBorder="1" applyAlignment="1" applyProtection="1">
      <alignment vertical="center"/>
      <protection locked="0"/>
    </xf>
    <xf numFmtId="178" fontId="0" fillId="20" borderId="103" xfId="0" applyNumberFormat="1" applyFill="1" applyBorder="1" applyAlignment="1" applyProtection="1">
      <alignment vertical="center"/>
      <protection locked="0"/>
    </xf>
    <xf numFmtId="10" fontId="0" fillId="20" borderId="105" xfId="0" applyNumberFormat="1" applyFill="1" applyBorder="1" applyAlignment="1" applyProtection="1">
      <alignment vertical="center"/>
      <protection locked="0"/>
    </xf>
    <xf numFmtId="10" fontId="69" fillId="0" borderId="105" xfId="0" applyNumberFormat="1" applyFont="1" applyBorder="1" applyAlignment="1" applyProtection="1">
      <alignment vertical="center"/>
      <protection locked="0"/>
    </xf>
    <xf numFmtId="0" fontId="70" fillId="0" borderId="66" xfId="0" applyFont="1" applyBorder="1" applyAlignment="1" applyProtection="1">
      <alignment horizontal="left" vertical="top" wrapText="1"/>
      <protection hidden="1"/>
    </xf>
    <xf numFmtId="3" fontId="15" fillId="0" borderId="41" xfId="0" applyNumberFormat="1" applyFont="1" applyBorder="1" applyAlignment="1" applyProtection="1">
      <alignment horizontal="right" vertical="center"/>
      <protection hidden="1"/>
    </xf>
    <xf numFmtId="3" fontId="15" fillId="0" borderId="37" xfId="0" applyNumberFormat="1" applyFont="1" applyBorder="1" applyAlignment="1" applyProtection="1">
      <alignment horizontal="right" vertical="center"/>
      <protection hidden="1"/>
    </xf>
    <xf numFmtId="3" fontId="15" fillId="0" borderId="63" xfId="0" applyNumberFormat="1" applyFont="1" applyBorder="1" applyAlignment="1" applyProtection="1">
      <alignment horizontal="right" vertical="center"/>
      <protection hidden="1"/>
    </xf>
    <xf numFmtId="3" fontId="15" fillId="19" borderId="37" xfId="0" applyNumberFormat="1" applyFont="1" applyFill="1" applyBorder="1" applyAlignment="1" applyProtection="1">
      <alignment horizontal="center" vertical="center"/>
      <protection locked="0"/>
    </xf>
    <xf numFmtId="3" fontId="15" fillId="19" borderId="63" xfId="0" applyNumberFormat="1" applyFont="1" applyFill="1" applyBorder="1" applyAlignment="1" applyProtection="1">
      <alignment horizontal="center" vertical="center"/>
      <protection locked="0"/>
    </xf>
    <xf numFmtId="3" fontId="15" fillId="19" borderId="62" xfId="0" applyNumberFormat="1" applyFont="1" applyFill="1" applyBorder="1" applyAlignment="1" applyProtection="1">
      <alignment horizontal="center" vertical="center"/>
      <protection locked="0"/>
    </xf>
    <xf numFmtId="0" fontId="15" fillId="0" borderId="36" xfId="0" applyFont="1" applyBorder="1" applyAlignment="1">
      <alignment horizontal="left" vertical="top" wrapText="1"/>
    </xf>
    <xf numFmtId="0" fontId="15" fillId="0" borderId="67" xfId="0" applyFont="1" applyBorder="1" applyAlignment="1">
      <alignment horizontal="left" vertical="top"/>
    </xf>
    <xf numFmtId="0" fontId="15" fillId="0" borderId="124" xfId="0" applyFont="1" applyBorder="1" applyAlignment="1">
      <alignment horizontal="left" vertical="top"/>
    </xf>
    <xf numFmtId="0" fontId="15" fillId="0" borderId="134" xfId="0" applyFont="1" applyBorder="1" applyAlignment="1">
      <alignment horizontal="left" vertical="top"/>
    </xf>
    <xf numFmtId="0" fontId="15" fillId="0" borderId="65" xfId="0" applyFont="1" applyBorder="1" applyAlignment="1">
      <alignment horizontal="left" vertical="top"/>
    </xf>
    <xf numFmtId="0" fontId="15" fillId="0" borderId="64" xfId="0" applyFont="1" applyBorder="1" applyAlignment="1">
      <alignment horizontal="left" vertical="top"/>
    </xf>
    <xf numFmtId="0" fontId="15" fillId="0" borderId="41" xfId="0" applyFont="1" applyBorder="1" applyAlignment="1" applyProtection="1">
      <alignment horizontal="left" vertical="top" wrapText="1"/>
      <protection hidden="1"/>
    </xf>
    <xf numFmtId="3" fontId="15" fillId="3" borderId="41" xfId="0" applyNumberFormat="1" applyFont="1" applyFill="1" applyBorder="1" applyAlignment="1" applyProtection="1">
      <alignment horizontal="right" vertical="center"/>
      <protection locked="0"/>
    </xf>
    <xf numFmtId="3" fontId="15" fillId="3" borderId="37" xfId="0" applyNumberFormat="1" applyFont="1" applyFill="1" applyBorder="1" applyAlignment="1" applyProtection="1">
      <alignment horizontal="right" vertical="center"/>
      <protection locked="0"/>
    </xf>
    <xf numFmtId="0" fontId="15" fillId="0" borderId="36" xfId="0" applyFont="1" applyBorder="1" applyAlignment="1" applyProtection="1">
      <alignment horizontal="left" vertical="top" wrapText="1"/>
      <protection hidden="1"/>
    </xf>
    <xf numFmtId="0" fontId="15" fillId="0" borderId="67" xfId="0" applyFont="1" applyBorder="1" applyAlignment="1" applyProtection="1">
      <alignment horizontal="left" vertical="top"/>
      <protection hidden="1"/>
    </xf>
    <xf numFmtId="0" fontId="15" fillId="0" borderId="124" xfId="0" applyFont="1" applyBorder="1" applyAlignment="1" applyProtection="1">
      <alignment horizontal="left" vertical="top"/>
      <protection hidden="1"/>
    </xf>
    <xf numFmtId="0" fontId="15" fillId="0" borderId="66" xfId="0" applyFont="1" applyBorder="1" applyAlignment="1" applyProtection="1">
      <alignment horizontal="left" vertical="top" wrapText="1"/>
      <protection hidden="1"/>
    </xf>
    <xf numFmtId="0" fontId="15" fillId="0" borderId="0" xfId="0" applyFont="1" applyAlignment="1" applyProtection="1">
      <alignment horizontal="left" vertical="top"/>
      <protection hidden="1"/>
    </xf>
    <xf numFmtId="0" fontId="15" fillId="0" borderId="55" xfId="0" applyFont="1" applyBorder="1" applyAlignment="1" applyProtection="1">
      <alignment horizontal="left" vertical="top"/>
      <protection hidden="1"/>
    </xf>
    <xf numFmtId="0" fontId="15" fillId="0" borderId="134" xfId="0" applyFont="1" applyBorder="1" applyAlignment="1" applyProtection="1">
      <alignment horizontal="left" vertical="top"/>
      <protection hidden="1"/>
    </xf>
    <xf numFmtId="0" fontId="15" fillId="0" borderId="65" xfId="0" applyFont="1" applyBorder="1" applyAlignment="1" applyProtection="1">
      <alignment horizontal="left" vertical="top"/>
      <protection hidden="1"/>
    </xf>
    <xf numFmtId="0" fontId="15" fillId="0" borderId="64" xfId="0" applyFont="1" applyBorder="1" applyAlignment="1" applyProtection="1">
      <alignment horizontal="left" vertical="top"/>
      <protection hidden="1"/>
    </xf>
    <xf numFmtId="0" fontId="15" fillId="0" borderId="66" xfId="0" applyFont="1" applyBorder="1" applyAlignment="1">
      <alignment horizontal="left" vertical="top" wrapText="1"/>
    </xf>
    <xf numFmtId="0" fontId="15" fillId="0" borderId="0" xfId="0" applyFont="1" applyAlignment="1">
      <alignment horizontal="left" vertical="top"/>
    </xf>
    <xf numFmtId="0" fontId="15" fillId="0" borderId="55" xfId="0" applyFont="1" applyBorder="1" applyAlignment="1">
      <alignment horizontal="left" vertical="top"/>
    </xf>
    <xf numFmtId="0" fontId="15" fillId="3" borderId="147" xfId="0" applyFont="1" applyFill="1" applyBorder="1" applyAlignment="1" applyProtection="1">
      <alignment horizontal="center" vertical="center"/>
      <protection locked="0"/>
    </xf>
    <xf numFmtId="0" fontId="15" fillId="3" borderId="41" xfId="0" applyFont="1" applyFill="1" applyBorder="1" applyAlignment="1" applyProtection="1">
      <alignment horizontal="center" vertical="center"/>
      <protection locked="0"/>
    </xf>
    <xf numFmtId="3" fontId="15" fillId="3" borderId="63" xfId="0" applyNumberFormat="1" applyFont="1" applyFill="1" applyBorder="1" applyAlignment="1" applyProtection="1">
      <alignment horizontal="right" vertical="center"/>
      <protection locked="0"/>
    </xf>
    <xf numFmtId="0" fontId="19" fillId="0" borderId="0" xfId="0" applyFont="1" applyAlignment="1" applyProtection="1">
      <alignment horizontal="left" vertical="center"/>
      <protection hidden="1"/>
    </xf>
    <xf numFmtId="0" fontId="15" fillId="0" borderId="41" xfId="0" applyFont="1" applyBorder="1" applyAlignment="1" applyProtection="1">
      <alignment vertical="center" wrapText="1"/>
      <protection hidden="1"/>
    </xf>
    <xf numFmtId="0" fontId="14" fillId="3" borderId="41" xfId="0" applyFont="1" applyFill="1" applyBorder="1" applyAlignment="1">
      <alignment horizontal="center"/>
    </xf>
    <xf numFmtId="0" fontId="15" fillId="3" borderId="37" xfId="0"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8" fillId="0" borderId="36" xfId="0" applyFont="1" applyBorder="1" applyAlignment="1">
      <alignment horizontal="left" vertical="top" wrapText="1"/>
    </xf>
    <xf numFmtId="0" fontId="18" fillId="0" borderId="67" xfId="0" applyFont="1" applyBorder="1" applyAlignment="1">
      <alignment horizontal="left" vertical="top" wrapText="1"/>
    </xf>
    <xf numFmtId="0" fontId="18" fillId="0" borderId="124" xfId="0" applyFont="1" applyBorder="1" applyAlignment="1">
      <alignment horizontal="left" vertical="top" wrapText="1"/>
    </xf>
    <xf numFmtId="0" fontId="18" fillId="0" borderId="66" xfId="0" applyFont="1" applyBorder="1" applyAlignment="1">
      <alignment horizontal="left" vertical="top" wrapText="1"/>
    </xf>
    <xf numFmtId="0" fontId="18" fillId="0" borderId="0" xfId="0" applyFont="1" applyAlignment="1">
      <alignment horizontal="left" vertical="top" wrapText="1"/>
    </xf>
    <xf numFmtId="0" fontId="18" fillId="0" borderId="55" xfId="0" applyFont="1" applyBorder="1" applyAlignment="1">
      <alignment horizontal="left" vertical="top" wrapText="1"/>
    </xf>
    <xf numFmtId="0" fontId="18" fillId="0" borderId="134" xfId="0" applyFont="1" applyBorder="1" applyAlignment="1">
      <alignment horizontal="left" vertical="top" wrapText="1"/>
    </xf>
    <xf numFmtId="0" fontId="18" fillId="0" borderId="65" xfId="0" applyFont="1" applyBorder="1" applyAlignment="1">
      <alignment horizontal="left" vertical="top" wrapText="1"/>
    </xf>
    <xf numFmtId="0" fontId="18" fillId="0" borderId="64" xfId="0" applyFont="1" applyBorder="1" applyAlignment="1">
      <alignment horizontal="left" vertical="top" wrapText="1"/>
    </xf>
    <xf numFmtId="0" fontId="16" fillId="0" borderId="36" xfId="0" applyFont="1" applyBorder="1" applyAlignment="1">
      <alignment horizontal="left" vertical="top" wrapText="1"/>
    </xf>
    <xf numFmtId="0" fontId="16" fillId="0" borderId="67" xfId="0" applyFont="1" applyBorder="1" applyAlignment="1">
      <alignment horizontal="left" vertical="top"/>
    </xf>
    <xf numFmtId="0" fontId="16" fillId="0" borderId="124" xfId="0" applyFont="1" applyBorder="1" applyAlignment="1">
      <alignment horizontal="left" vertical="top"/>
    </xf>
    <xf numFmtId="0" fontId="16" fillId="0" borderId="66" xfId="0" applyFont="1" applyBorder="1" applyAlignment="1">
      <alignment horizontal="left" vertical="top" wrapText="1"/>
    </xf>
    <xf numFmtId="0" fontId="16" fillId="0" borderId="0" xfId="0" applyFont="1" applyAlignment="1">
      <alignment horizontal="left" vertical="top"/>
    </xf>
    <xf numFmtId="0" fontId="16" fillId="0" borderId="55" xfId="0" applyFont="1" applyBorder="1" applyAlignment="1">
      <alignment horizontal="left" vertical="top"/>
    </xf>
    <xf numFmtId="0" fontId="16" fillId="0" borderId="134" xfId="0" applyFont="1" applyBorder="1" applyAlignment="1">
      <alignment horizontal="left" vertical="top"/>
    </xf>
    <xf numFmtId="0" fontId="16" fillId="0" borderId="65" xfId="0" applyFont="1" applyBorder="1" applyAlignment="1">
      <alignment horizontal="left" vertical="top"/>
    </xf>
    <xf numFmtId="0" fontId="16" fillId="0" borderId="64" xfId="0" applyFont="1" applyBorder="1" applyAlignment="1">
      <alignment horizontal="left" vertical="top"/>
    </xf>
    <xf numFmtId="0" fontId="61" fillId="0" borderId="66" xfId="0" applyFont="1" applyBorder="1" applyAlignment="1">
      <alignment vertical="top" wrapText="1"/>
    </xf>
    <xf numFmtId="0" fontId="61" fillId="0" borderId="0" xfId="0" applyFont="1" applyAlignment="1">
      <alignment vertical="top" wrapText="1"/>
    </xf>
    <xf numFmtId="0" fontId="61" fillId="0" borderId="55" xfId="0" applyFont="1" applyBorder="1" applyAlignment="1">
      <alignment vertical="top" wrapText="1"/>
    </xf>
    <xf numFmtId="0" fontId="61" fillId="0" borderId="134" xfId="0" applyFont="1" applyBorder="1" applyAlignment="1">
      <alignment vertical="top" wrapText="1"/>
    </xf>
    <xf numFmtId="0" fontId="61" fillId="0" borderId="65" xfId="0" applyFont="1" applyBorder="1" applyAlignment="1">
      <alignment vertical="top" wrapText="1"/>
    </xf>
    <xf numFmtId="0" fontId="61" fillId="0" borderId="64" xfId="0" applyFont="1" applyBorder="1" applyAlignment="1">
      <alignment vertical="top" wrapText="1"/>
    </xf>
    <xf numFmtId="0" fontId="20" fillId="8" borderId="141" xfId="0" applyFont="1" applyFill="1" applyBorder="1" applyAlignment="1" applyProtection="1">
      <alignment horizontal="center" vertical="center" wrapText="1"/>
      <protection hidden="1"/>
    </xf>
    <xf numFmtId="0" fontId="20" fillId="8" borderId="139" xfId="0" applyFont="1" applyFill="1" applyBorder="1" applyAlignment="1" applyProtection="1">
      <alignment horizontal="center" vertical="center" wrapText="1"/>
      <protection hidden="1"/>
    </xf>
    <xf numFmtId="0" fontId="20" fillId="8" borderId="71" xfId="0" applyFont="1" applyFill="1" applyBorder="1" applyAlignment="1" applyProtection="1">
      <alignment horizontal="center" vertical="center" wrapText="1"/>
      <protection hidden="1"/>
    </xf>
    <xf numFmtId="0" fontId="20" fillId="0" borderId="125"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72" fillId="15" borderId="0" xfId="0" applyFont="1" applyFill="1" applyAlignment="1" applyProtection="1">
      <alignment vertical="center"/>
      <protection locked="0"/>
    </xf>
    <xf numFmtId="0" fontId="62" fillId="14" borderId="115" xfId="0" applyFont="1" applyFill="1" applyBorder="1" applyAlignment="1">
      <alignment horizontal="center" vertical="center"/>
    </xf>
    <xf numFmtId="0" fontId="62" fillId="14" borderId="0" xfId="0" applyFont="1" applyFill="1" applyAlignment="1">
      <alignment horizontal="center" vertical="center"/>
    </xf>
    <xf numFmtId="0" fontId="18" fillId="5" borderId="41" xfId="0" applyFont="1" applyFill="1" applyBorder="1" applyAlignment="1" applyProtection="1">
      <alignment horizontal="center"/>
      <protection hidden="1"/>
    </xf>
    <xf numFmtId="0" fontId="10" fillId="14" borderId="115" xfId="0" applyFont="1" applyFill="1" applyBorder="1" applyAlignment="1" applyProtection="1">
      <alignment horizontal="center"/>
      <protection hidden="1"/>
    </xf>
    <xf numFmtId="0" fontId="10" fillId="14" borderId="0" xfId="0" applyFont="1" applyFill="1" applyAlignment="1" applyProtection="1">
      <alignment horizontal="center"/>
      <protection hidden="1"/>
    </xf>
    <xf numFmtId="0" fontId="10" fillId="14" borderId="114" xfId="0" applyFont="1" applyFill="1" applyBorder="1" applyAlignment="1" applyProtection="1">
      <alignment horizontal="center"/>
      <protection hidden="1"/>
    </xf>
    <xf numFmtId="0" fontId="34" fillId="16" borderId="0" xfId="0" applyFont="1" applyFill="1" applyAlignment="1" applyProtection="1">
      <alignment horizontal="center" vertical="center"/>
      <protection hidden="1"/>
    </xf>
    <xf numFmtId="0" fontId="57" fillId="7" borderId="0" xfId="0" applyFont="1" applyFill="1" applyAlignment="1">
      <alignment horizontal="center" vertical="center"/>
    </xf>
    <xf numFmtId="177" fontId="20" fillId="8" borderId="117" xfId="0" applyNumberFormat="1" applyFont="1" applyFill="1" applyBorder="1" applyAlignment="1" applyProtection="1">
      <alignment horizontal="center" vertical="center"/>
      <protection hidden="1"/>
    </xf>
    <xf numFmtId="177" fontId="20" fillId="8" borderId="118" xfId="0" applyNumberFormat="1" applyFont="1" applyFill="1" applyBorder="1" applyAlignment="1" applyProtection="1">
      <alignment horizontal="center" vertical="center"/>
      <protection hidden="1"/>
    </xf>
    <xf numFmtId="177" fontId="20" fillId="8" borderId="119" xfId="0" applyNumberFormat="1" applyFont="1" applyFill="1" applyBorder="1" applyAlignment="1" applyProtection="1">
      <alignment horizontal="center" vertical="center"/>
      <protection hidden="1"/>
    </xf>
    <xf numFmtId="177" fontId="14" fillId="9" borderId="120" xfId="0" applyNumberFormat="1" applyFont="1" applyFill="1" applyBorder="1" applyAlignment="1" applyProtection="1">
      <alignment horizontal="center" vertical="center"/>
      <protection hidden="1"/>
    </xf>
    <xf numFmtId="177" fontId="14" fillId="9" borderId="121" xfId="0" applyNumberFormat="1" applyFont="1" applyFill="1" applyBorder="1" applyAlignment="1" applyProtection="1">
      <alignment horizontal="center" vertical="center"/>
      <protection hidden="1"/>
    </xf>
    <xf numFmtId="177" fontId="14" fillId="9" borderId="122" xfId="0" applyNumberFormat="1" applyFont="1" applyFill="1" applyBorder="1" applyAlignment="1" applyProtection="1">
      <alignment horizontal="center" vertical="center"/>
      <protection hidden="1"/>
    </xf>
    <xf numFmtId="177" fontId="14" fillId="9" borderId="8" xfId="0" applyNumberFormat="1" applyFont="1" applyFill="1" applyBorder="1" applyAlignment="1" applyProtection="1">
      <alignment horizontal="center" vertical="center"/>
      <protection hidden="1"/>
    </xf>
    <xf numFmtId="0" fontId="20" fillId="0" borderId="123" xfId="0" applyFont="1" applyBorder="1" applyAlignment="1" applyProtection="1">
      <alignment horizontal="center" vertical="center"/>
      <protection hidden="1"/>
    </xf>
    <xf numFmtId="0" fontId="20" fillId="0" borderId="67" xfId="0" applyFont="1" applyBorder="1" applyAlignment="1" applyProtection="1">
      <alignment horizontal="center" vertical="center"/>
      <protection hidden="1"/>
    </xf>
    <xf numFmtId="0" fontId="20" fillId="0" borderId="124" xfId="0" applyFont="1" applyBorder="1" applyAlignment="1" applyProtection="1">
      <alignment horizontal="center" vertical="center"/>
      <protection hidden="1"/>
    </xf>
    <xf numFmtId="0" fontId="20" fillId="0" borderId="55" xfId="0" applyFont="1" applyBorder="1" applyAlignment="1" applyProtection="1">
      <alignment horizontal="center" vertical="center"/>
      <protection hidden="1"/>
    </xf>
    <xf numFmtId="0" fontId="20" fillId="0" borderId="126" xfId="0" applyFont="1" applyBorder="1" applyAlignment="1" applyProtection="1">
      <alignment horizontal="center" vertical="center"/>
      <protection hidden="1"/>
    </xf>
    <xf numFmtId="0" fontId="20" fillId="0" borderId="65" xfId="0" applyFont="1" applyBorder="1" applyAlignment="1" applyProtection="1">
      <alignment horizontal="center" vertical="center"/>
      <protection hidden="1"/>
    </xf>
    <xf numFmtId="0" fontId="20" fillId="0" borderId="64" xfId="0" applyFont="1" applyBorder="1" applyAlignment="1" applyProtection="1">
      <alignment horizontal="center" vertical="center"/>
      <protection hidden="1"/>
    </xf>
    <xf numFmtId="183" fontId="14" fillId="0" borderId="67" xfId="0" applyNumberFormat="1" applyFont="1" applyBorder="1" applyAlignment="1" applyProtection="1">
      <alignment horizontal="left" vertical="center"/>
      <protection hidden="1"/>
    </xf>
    <xf numFmtId="183" fontId="14" fillId="0" borderId="124" xfId="0" applyNumberFormat="1" applyFont="1" applyBorder="1" applyAlignment="1" applyProtection="1">
      <alignment horizontal="left" vertical="center"/>
      <protection hidden="1"/>
    </xf>
    <xf numFmtId="177" fontId="14" fillId="0" borderId="36" xfId="0" applyNumberFormat="1" applyFont="1" applyBorder="1" applyAlignment="1" applyProtection="1">
      <alignment horizontal="right" vertical="center" shrinkToFit="1"/>
      <protection hidden="1"/>
    </xf>
    <xf numFmtId="177" fontId="14" fillId="0" borderId="67" xfId="0" applyNumberFormat="1" applyFont="1" applyBorder="1" applyAlignment="1" applyProtection="1">
      <alignment horizontal="right" vertical="center" shrinkToFit="1"/>
      <protection hidden="1"/>
    </xf>
    <xf numFmtId="0" fontId="46" fillId="0" borderId="126" xfId="0" applyFont="1" applyBorder="1" applyAlignment="1" applyProtection="1">
      <alignment horizontal="left" vertical="top" shrinkToFit="1"/>
      <protection hidden="1"/>
    </xf>
    <xf numFmtId="0" fontId="46" fillId="0" borderId="65" xfId="0" applyFont="1" applyBorder="1" applyAlignment="1" applyProtection="1">
      <alignment horizontal="left" vertical="top" shrinkToFit="1"/>
      <protection hidden="1"/>
    </xf>
    <xf numFmtId="0" fontId="46" fillId="0" borderId="64" xfId="0" applyFont="1" applyBorder="1" applyAlignment="1" applyProtection="1">
      <alignment horizontal="left" vertical="top" shrinkToFit="1"/>
      <protection hidden="1"/>
    </xf>
    <xf numFmtId="0" fontId="46" fillId="0" borderId="125" xfId="0" applyFont="1" applyBorder="1" applyAlignment="1" applyProtection="1">
      <alignment horizontal="left"/>
      <protection hidden="1"/>
    </xf>
    <xf numFmtId="0" fontId="46" fillId="0" borderId="0" xfId="0" applyFont="1" applyAlignment="1" applyProtection="1">
      <alignment horizontal="left"/>
      <protection hidden="1"/>
    </xf>
    <xf numFmtId="0" fontId="46" fillId="0" borderId="55" xfId="0" applyFont="1" applyBorder="1" applyAlignment="1" applyProtection="1">
      <alignment horizontal="left"/>
      <protection hidden="1"/>
    </xf>
    <xf numFmtId="177" fontId="20" fillId="11" borderId="146" xfId="0" applyNumberFormat="1" applyFont="1" applyFill="1" applyBorder="1" applyAlignment="1" applyProtection="1">
      <alignment horizontal="center" vertical="center"/>
      <protection hidden="1"/>
    </xf>
    <xf numFmtId="177" fontId="20" fillId="11" borderId="118" xfId="0" applyNumberFormat="1" applyFont="1" applyFill="1" applyBorder="1" applyAlignment="1" applyProtection="1">
      <alignment horizontal="center" vertical="center"/>
      <protection hidden="1"/>
    </xf>
    <xf numFmtId="177" fontId="20" fillId="11" borderId="119" xfId="0" applyNumberFormat="1" applyFont="1" applyFill="1" applyBorder="1" applyAlignment="1" applyProtection="1">
      <alignment horizontal="center" vertical="center"/>
      <protection hidden="1"/>
    </xf>
    <xf numFmtId="177" fontId="14" fillId="0" borderId="66" xfId="0" applyNumberFormat="1" applyFont="1" applyBorder="1" applyAlignment="1" applyProtection="1">
      <alignment horizontal="center" vertical="center"/>
      <protection hidden="1"/>
    </xf>
    <xf numFmtId="177" fontId="14" fillId="0" borderId="0" xfId="0" applyNumberFormat="1" applyFont="1" applyAlignment="1" applyProtection="1">
      <alignment horizontal="center" vertical="center"/>
      <protection hidden="1"/>
    </xf>
    <xf numFmtId="177" fontId="14" fillId="0" borderId="55" xfId="0" applyNumberFormat="1" applyFont="1" applyBorder="1" applyAlignment="1" applyProtection="1">
      <alignment horizontal="center" vertical="center"/>
      <protection hidden="1"/>
    </xf>
    <xf numFmtId="0" fontId="14" fillId="0" borderId="41" xfId="0" applyFont="1" applyBorder="1" applyAlignment="1" applyProtection="1">
      <alignment horizontal="center" vertical="center"/>
      <protection hidden="1"/>
    </xf>
    <xf numFmtId="0" fontId="18" fillId="8" borderId="41" xfId="0" applyFont="1" applyFill="1" applyBorder="1" applyAlignment="1" applyProtection="1">
      <alignment horizontal="center"/>
      <protection hidden="1"/>
    </xf>
    <xf numFmtId="3" fontId="15" fillId="19" borderId="41" xfId="0" applyNumberFormat="1" applyFont="1" applyFill="1" applyBorder="1" applyAlignment="1" applyProtection="1">
      <alignment horizontal="center" vertical="center"/>
      <protection locked="0"/>
    </xf>
    <xf numFmtId="0" fontId="15" fillId="0" borderId="36" xfId="0" applyFont="1" applyBorder="1" applyAlignment="1">
      <alignment horizontal="left" vertical="center" wrapText="1" shrinkToFit="1"/>
    </xf>
    <xf numFmtId="0" fontId="15" fillId="0" borderId="67" xfId="0" applyFont="1" applyBorder="1" applyAlignment="1">
      <alignment horizontal="left" vertical="center" shrinkToFit="1"/>
    </xf>
    <xf numFmtId="0" fontId="15" fillId="0" borderId="124" xfId="0" applyFont="1" applyBorder="1" applyAlignment="1">
      <alignment horizontal="left" vertical="center" shrinkToFit="1"/>
    </xf>
    <xf numFmtId="0" fontId="15" fillId="0" borderId="134" xfId="0" applyFont="1" applyBorder="1" applyAlignment="1">
      <alignment horizontal="left" vertical="center" shrinkToFit="1"/>
    </xf>
    <xf numFmtId="0" fontId="15" fillId="0" borderId="65" xfId="0" applyFont="1" applyBorder="1" applyAlignment="1">
      <alignment horizontal="left" vertical="center" shrinkToFit="1"/>
    </xf>
    <xf numFmtId="0" fontId="15" fillId="0" borderId="64" xfId="0" applyFont="1" applyBorder="1" applyAlignment="1">
      <alignment horizontal="left" vertical="center" shrinkToFit="1"/>
    </xf>
    <xf numFmtId="0" fontId="15" fillId="0" borderId="147"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36" xfId="0" applyFont="1" applyBorder="1" applyAlignment="1">
      <alignment vertical="top" wrapText="1"/>
    </xf>
    <xf numFmtId="0" fontId="15" fillId="0" borderId="67" xfId="0" applyFont="1" applyBorder="1" applyAlignment="1">
      <alignment vertical="top" wrapText="1"/>
    </xf>
    <xf numFmtId="0" fontId="15" fillId="0" borderId="124" xfId="0" applyFont="1" applyBorder="1" applyAlignment="1">
      <alignment vertical="top" wrapText="1"/>
    </xf>
    <xf numFmtId="0" fontId="15" fillId="0" borderId="66" xfId="0" applyFont="1" applyBorder="1" applyAlignment="1">
      <alignment vertical="top" wrapText="1"/>
    </xf>
    <xf numFmtId="0" fontId="15" fillId="0" borderId="0" xfId="0" applyFont="1" applyAlignment="1">
      <alignment vertical="top" wrapText="1"/>
    </xf>
    <xf numFmtId="0" fontId="15" fillId="0" borderId="55" xfId="0" applyFont="1" applyBorder="1" applyAlignment="1">
      <alignment vertical="top" wrapText="1"/>
    </xf>
    <xf numFmtId="3" fontId="15" fillId="3" borderId="54" xfId="0" applyNumberFormat="1" applyFont="1" applyFill="1" applyBorder="1" applyAlignment="1" applyProtection="1">
      <alignment horizontal="right" vertical="center"/>
      <protection locked="0"/>
    </xf>
    <xf numFmtId="3" fontId="15" fillId="3" borderId="134" xfId="0" applyNumberFormat="1" applyFont="1" applyFill="1" applyBorder="1" applyAlignment="1" applyProtection="1">
      <alignment horizontal="right" vertical="center"/>
      <protection locked="0"/>
    </xf>
    <xf numFmtId="180" fontId="26" fillId="0" borderId="0" xfId="0" applyNumberFormat="1" applyFont="1" applyAlignment="1" applyProtection="1">
      <alignment horizontal="center"/>
      <protection hidden="1"/>
    </xf>
    <xf numFmtId="0" fontId="19" fillId="0" borderId="0" xfId="0" applyFont="1" applyAlignment="1" applyProtection="1">
      <alignment horizontal="center" vertical="center"/>
      <protection hidden="1"/>
    </xf>
    <xf numFmtId="0" fontId="20" fillId="10" borderId="120" xfId="0" applyFont="1" applyFill="1" applyBorder="1" applyAlignment="1" applyProtection="1">
      <alignment horizontal="center" vertical="center"/>
      <protection hidden="1"/>
    </xf>
    <xf numFmtId="181" fontId="14" fillId="0" borderId="37" xfId="0" applyNumberFormat="1" applyFont="1" applyBorder="1" applyAlignment="1" applyProtection="1">
      <alignment horizontal="center" vertical="center"/>
      <protection hidden="1"/>
    </xf>
    <xf numFmtId="181" fontId="14" fillId="0" borderId="63" xfId="0" applyNumberFormat="1" applyFont="1" applyBorder="1" applyAlignment="1" applyProtection="1">
      <alignment horizontal="center" vertical="center"/>
      <protection hidden="1"/>
    </xf>
    <xf numFmtId="181" fontId="14" fillId="0" borderId="62" xfId="0" applyNumberFormat="1" applyFont="1" applyBorder="1" applyAlignment="1" applyProtection="1">
      <alignment horizontal="center" vertical="center"/>
      <protection hidden="1"/>
    </xf>
    <xf numFmtId="177" fontId="14" fillId="9" borderId="141" xfId="0" applyNumberFormat="1" applyFont="1" applyFill="1" applyBorder="1" applyAlignment="1" applyProtection="1">
      <alignment horizontal="center" vertical="center"/>
      <protection hidden="1"/>
    </xf>
    <xf numFmtId="177" fontId="14" fillId="9" borderId="139" xfId="0" applyNumberFormat="1" applyFont="1" applyFill="1" applyBorder="1" applyAlignment="1" applyProtection="1">
      <alignment horizontal="center" vertical="center"/>
      <protection hidden="1"/>
    </xf>
    <xf numFmtId="177" fontId="14" fillId="9" borderId="117" xfId="0" applyNumberFormat="1" applyFont="1" applyFill="1" applyBorder="1" applyAlignment="1" applyProtection="1">
      <alignment horizontal="center" vertical="center"/>
      <protection hidden="1"/>
    </xf>
    <xf numFmtId="177" fontId="14" fillId="0" borderId="37" xfId="0" applyNumberFormat="1" applyFont="1" applyBorder="1" applyAlignment="1" applyProtection="1">
      <alignment horizontal="center" vertical="center"/>
      <protection hidden="1"/>
    </xf>
    <xf numFmtId="177" fontId="14" fillId="0" borderId="63" xfId="0" applyNumberFormat="1" applyFont="1" applyBorder="1" applyAlignment="1" applyProtection="1">
      <alignment horizontal="center" vertical="center"/>
      <protection hidden="1"/>
    </xf>
    <xf numFmtId="177" fontId="14" fillId="0" borderId="62" xfId="0" applyNumberFormat="1"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0" fillId="8" borderId="120" xfId="0" applyFont="1" applyFill="1" applyBorder="1" applyAlignment="1" applyProtection="1">
      <alignment horizontal="center" vertical="center"/>
      <protection hidden="1"/>
    </xf>
    <xf numFmtId="0" fontId="20" fillId="8" borderId="121" xfId="0" applyFont="1" applyFill="1" applyBorder="1" applyAlignment="1" applyProtection="1">
      <alignment horizontal="center" vertical="center"/>
      <protection hidden="1"/>
    </xf>
    <xf numFmtId="177" fontId="14" fillId="0" borderId="148" xfId="0" applyNumberFormat="1" applyFont="1" applyBorder="1" applyAlignment="1" applyProtection="1">
      <alignment horizontal="center" vertical="center"/>
      <protection hidden="1"/>
    </xf>
    <xf numFmtId="0" fontId="14" fillId="0" borderId="36" xfId="0" applyFont="1" applyBorder="1" applyAlignment="1" applyProtection="1">
      <alignment horizontal="center" vertical="center"/>
      <protection hidden="1"/>
    </xf>
    <xf numFmtId="0" fontId="14" fillId="0" borderId="124" xfId="0" applyFont="1" applyBorder="1" applyAlignment="1" applyProtection="1">
      <alignment horizontal="center" vertical="center"/>
      <protection hidden="1"/>
    </xf>
    <xf numFmtId="0" fontId="14" fillId="0" borderId="134" xfId="0" applyFont="1" applyBorder="1" applyAlignment="1" applyProtection="1">
      <alignment horizontal="center" vertical="center"/>
      <protection hidden="1"/>
    </xf>
    <xf numFmtId="0" fontId="14" fillId="0" borderId="65" xfId="0" applyFont="1" applyBorder="1" applyAlignment="1" applyProtection="1">
      <alignment horizontal="center" vertical="center"/>
      <protection hidden="1"/>
    </xf>
    <xf numFmtId="0" fontId="20" fillId="0" borderId="43"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62" xfId="0" applyFont="1" applyBorder="1" applyAlignment="1" applyProtection="1">
      <alignment horizontal="center" vertical="center"/>
      <protection hidden="1"/>
    </xf>
    <xf numFmtId="183" fontId="14" fillId="0" borderId="155" xfId="0" applyNumberFormat="1" applyFont="1" applyBorder="1" applyAlignment="1" applyProtection="1">
      <alignment horizontal="left" vertical="center"/>
      <protection hidden="1"/>
    </xf>
    <xf numFmtId="177" fontId="32" fillId="0" borderId="127" xfId="0" applyNumberFormat="1" applyFont="1" applyBorder="1" applyAlignment="1" applyProtection="1">
      <alignment horizontal="left" vertical="center" wrapText="1"/>
      <protection hidden="1"/>
    </xf>
    <xf numFmtId="177" fontId="32" fillId="0" borderId="128" xfId="0" applyNumberFormat="1" applyFont="1" applyBorder="1" applyAlignment="1" applyProtection="1">
      <alignment horizontal="left" vertical="center" wrapText="1"/>
      <protection hidden="1"/>
    </xf>
    <xf numFmtId="177" fontId="32" fillId="0" borderId="129" xfId="0" applyNumberFormat="1" applyFont="1" applyBorder="1" applyAlignment="1" applyProtection="1">
      <alignment horizontal="left" vertical="center" wrapText="1"/>
      <protection hidden="1"/>
    </xf>
    <xf numFmtId="177" fontId="32" fillId="0" borderId="130" xfId="0" applyNumberFormat="1" applyFont="1" applyBorder="1" applyAlignment="1" applyProtection="1">
      <alignment horizontal="left" vertical="center" wrapText="1"/>
      <protection hidden="1"/>
    </xf>
    <xf numFmtId="177" fontId="32" fillId="0" borderId="131" xfId="0" applyNumberFormat="1" applyFont="1" applyBorder="1" applyAlignment="1" applyProtection="1">
      <alignment horizontal="left" vertical="center" wrapText="1"/>
      <protection hidden="1"/>
    </xf>
    <xf numFmtId="177" fontId="32" fillId="0" borderId="132" xfId="0" applyNumberFormat="1" applyFont="1" applyBorder="1" applyAlignment="1" applyProtection="1">
      <alignment horizontal="left" vertical="center" wrapText="1"/>
      <protection hidden="1"/>
    </xf>
    <xf numFmtId="0" fontId="15" fillId="0" borderId="41" xfId="0" applyFont="1" applyBorder="1" applyAlignment="1" applyProtection="1">
      <alignment horizontal="center" vertical="center"/>
      <protection hidden="1"/>
    </xf>
    <xf numFmtId="0" fontId="15" fillId="0" borderId="37" xfId="0" applyFont="1" applyBorder="1" applyAlignment="1" applyProtection="1">
      <alignment horizontal="center" vertical="center"/>
      <protection hidden="1"/>
    </xf>
    <xf numFmtId="0" fontId="15" fillId="0" borderId="41" xfId="0" applyFont="1" applyBorder="1" applyAlignment="1" applyProtection="1">
      <alignment horizontal="center"/>
      <protection hidden="1"/>
    </xf>
    <xf numFmtId="0" fontId="14" fillId="0" borderId="140" xfId="0" applyFont="1" applyBorder="1" applyAlignment="1" applyProtection="1">
      <alignment horizontal="center" vertical="center"/>
      <protection hidden="1"/>
    </xf>
    <xf numFmtId="0" fontId="14" fillId="0" borderId="120" xfId="0" applyFont="1" applyBorder="1" applyAlignment="1" applyProtection="1">
      <alignment horizontal="center" vertical="center"/>
      <protection hidden="1"/>
    </xf>
    <xf numFmtId="0" fontId="55" fillId="2" borderId="36" xfId="0" applyFont="1" applyFill="1" applyBorder="1" applyAlignment="1">
      <alignment horizontal="left" vertical="center" wrapText="1"/>
    </xf>
    <xf numFmtId="0" fontId="55" fillId="2" borderId="67" xfId="0" applyFont="1" applyFill="1" applyBorder="1" applyAlignment="1">
      <alignment horizontal="left" vertical="center" wrapText="1"/>
    </xf>
    <xf numFmtId="0" fontId="55" fillId="2" borderId="124" xfId="0" applyFont="1" applyFill="1" applyBorder="1" applyAlignment="1">
      <alignment horizontal="left" vertical="center" wrapText="1"/>
    </xf>
    <xf numFmtId="0" fontId="55" fillId="2" borderId="134" xfId="0" applyFont="1" applyFill="1" applyBorder="1" applyAlignment="1">
      <alignment horizontal="left" vertical="center" wrapText="1"/>
    </xf>
    <xf numFmtId="0" fontId="55" fillId="2" borderId="65" xfId="0" applyFont="1" applyFill="1" applyBorder="1" applyAlignment="1">
      <alignment horizontal="left" vertical="center" wrapText="1"/>
    </xf>
    <xf numFmtId="0" fontId="55" fillId="2" borderId="64" xfId="0" applyFont="1" applyFill="1" applyBorder="1" applyAlignment="1">
      <alignment horizontal="left" vertical="center" wrapText="1"/>
    </xf>
    <xf numFmtId="0" fontId="15" fillId="2" borderId="36" xfId="0" applyFont="1" applyFill="1" applyBorder="1" applyAlignment="1">
      <alignment horizontal="left" vertical="top" wrapText="1"/>
    </xf>
    <xf numFmtId="0" fontId="15" fillId="2" borderId="67" xfId="0" applyFont="1" applyFill="1" applyBorder="1" applyAlignment="1">
      <alignment horizontal="left" vertical="top"/>
    </xf>
    <xf numFmtId="0" fontId="15" fillId="2" borderId="124" xfId="0" applyFont="1" applyFill="1" applyBorder="1" applyAlignment="1">
      <alignment horizontal="left" vertical="top"/>
    </xf>
    <xf numFmtId="0" fontId="15" fillId="2" borderId="134" xfId="0" applyFont="1" applyFill="1" applyBorder="1" applyAlignment="1">
      <alignment horizontal="left" vertical="top" wrapText="1"/>
    </xf>
    <xf numFmtId="0" fontId="15" fillId="2" borderId="65" xfId="0" applyFont="1" applyFill="1" applyBorder="1" applyAlignment="1">
      <alignment horizontal="left" vertical="top"/>
    </xf>
    <xf numFmtId="0" fontId="15" fillId="2" borderId="64" xfId="0" applyFont="1" applyFill="1" applyBorder="1" applyAlignment="1">
      <alignment horizontal="left" vertical="top"/>
    </xf>
    <xf numFmtId="0" fontId="16" fillId="2" borderId="36" xfId="0" applyFont="1" applyFill="1" applyBorder="1" applyAlignment="1">
      <alignment horizontal="left" vertical="top" wrapText="1"/>
    </xf>
    <xf numFmtId="0" fontId="16" fillId="2" borderId="67" xfId="0" applyFont="1" applyFill="1" applyBorder="1" applyAlignment="1">
      <alignment horizontal="left" vertical="top"/>
    </xf>
    <xf numFmtId="0" fontId="16" fillId="2" borderId="124" xfId="0" applyFont="1" applyFill="1" applyBorder="1" applyAlignment="1">
      <alignment horizontal="left" vertical="top"/>
    </xf>
    <xf numFmtId="0" fontId="16" fillId="2" borderId="134" xfId="0" applyFont="1" applyFill="1" applyBorder="1" applyAlignment="1">
      <alignment horizontal="left" vertical="top" wrapText="1"/>
    </xf>
    <xf numFmtId="0" fontId="16" fillId="2" borderId="65" xfId="0" applyFont="1" applyFill="1" applyBorder="1" applyAlignment="1">
      <alignment horizontal="left" vertical="top"/>
    </xf>
    <xf numFmtId="0" fontId="16" fillId="2" borderId="64" xfId="0" applyFont="1" applyFill="1" applyBorder="1" applyAlignment="1">
      <alignment horizontal="left" vertical="top"/>
    </xf>
    <xf numFmtId="0" fontId="15" fillId="0" borderId="158"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0" fillId="11" borderId="120" xfId="0" applyFont="1" applyFill="1" applyBorder="1" applyAlignment="1" applyProtection="1">
      <alignment horizontal="center" vertical="center" shrinkToFit="1"/>
      <protection hidden="1"/>
    </xf>
    <xf numFmtId="3" fontId="15" fillId="0" borderId="54" xfId="0" applyNumberFormat="1" applyFont="1" applyBorder="1" applyAlignment="1" applyProtection="1">
      <alignment horizontal="right" vertical="center"/>
      <protection hidden="1"/>
    </xf>
    <xf numFmtId="3" fontId="15" fillId="0" borderId="134" xfId="0" applyNumberFormat="1" applyFont="1" applyBorder="1" applyAlignment="1" applyProtection="1">
      <alignment horizontal="right" vertical="center"/>
      <protection hidden="1"/>
    </xf>
    <xf numFmtId="0" fontId="22" fillId="11" borderId="141" xfId="0" applyFont="1" applyFill="1" applyBorder="1" applyAlignment="1" applyProtection="1">
      <alignment horizontal="center" vertical="center" wrapText="1"/>
      <protection hidden="1"/>
    </xf>
    <xf numFmtId="0" fontId="22" fillId="11" borderId="139" xfId="0" applyFont="1" applyFill="1" applyBorder="1" applyAlignment="1" applyProtection="1">
      <alignment horizontal="center" vertical="center" wrapText="1"/>
      <protection hidden="1"/>
    </xf>
    <xf numFmtId="0" fontId="22" fillId="11" borderId="71" xfId="0" applyFont="1" applyFill="1" applyBorder="1" applyAlignment="1" applyProtection="1">
      <alignment horizontal="center" vertical="center" wrapText="1"/>
      <protection hidden="1"/>
    </xf>
    <xf numFmtId="0" fontId="16" fillId="0" borderId="36" xfId="0" applyFont="1" applyBorder="1" applyAlignment="1">
      <alignment horizontal="left" vertical="center" wrapText="1"/>
    </xf>
    <xf numFmtId="0" fontId="16" fillId="0" borderId="67" xfId="0" applyFont="1" applyBorder="1" applyAlignment="1">
      <alignment horizontal="left" vertical="center"/>
    </xf>
    <xf numFmtId="0" fontId="16" fillId="0" borderId="124" xfId="0" applyFont="1" applyBorder="1" applyAlignment="1">
      <alignment horizontal="left" vertical="center"/>
    </xf>
    <xf numFmtId="0" fontId="16" fillId="0" borderId="134" xfId="0" applyFont="1" applyBorder="1" applyAlignment="1">
      <alignment horizontal="left" vertical="center"/>
    </xf>
    <xf numFmtId="0" fontId="16" fillId="0" borderId="65" xfId="0" applyFont="1" applyBorder="1" applyAlignment="1">
      <alignment horizontal="left" vertical="center"/>
    </xf>
    <xf numFmtId="0" fontId="16" fillId="0" borderId="64" xfId="0" applyFont="1" applyBorder="1" applyAlignment="1">
      <alignment horizontal="left" vertical="center"/>
    </xf>
    <xf numFmtId="0" fontId="19" fillId="0" borderId="67" xfId="0" applyFont="1" applyBorder="1" applyAlignment="1" applyProtection="1">
      <alignment horizontal="left" vertical="center"/>
      <protection hidden="1"/>
    </xf>
    <xf numFmtId="0" fontId="15" fillId="0" borderId="149" xfId="0" applyFont="1" applyBorder="1" applyAlignment="1">
      <alignment horizontal="left" vertical="center" wrapText="1"/>
    </xf>
    <xf numFmtId="0" fontId="15" fillId="0" borderId="150" xfId="0" applyFont="1" applyBorder="1" applyAlignment="1">
      <alignment horizontal="left" vertical="center" wrapText="1"/>
    </xf>
    <xf numFmtId="0" fontId="15" fillId="0" borderId="151" xfId="0" applyFont="1" applyBorder="1" applyAlignment="1">
      <alignment horizontal="left" vertical="center" wrapText="1"/>
    </xf>
    <xf numFmtId="0" fontId="15" fillId="0" borderId="152" xfId="0" applyFont="1" applyBorder="1" applyAlignment="1">
      <alignment horizontal="left" vertical="center" wrapText="1"/>
    </xf>
    <xf numFmtId="0" fontId="15" fillId="0" borderId="153" xfId="0" applyFont="1" applyBorder="1" applyAlignment="1">
      <alignment horizontal="left" vertical="center" wrapText="1"/>
    </xf>
    <xf numFmtId="0" fontId="15" fillId="0" borderId="154" xfId="0" applyFont="1" applyBorder="1" applyAlignment="1">
      <alignment horizontal="left" vertical="center" wrapText="1"/>
    </xf>
    <xf numFmtId="0" fontId="15" fillId="0" borderId="36" xfId="0" applyFont="1" applyBorder="1" applyAlignment="1">
      <alignment horizontal="left" vertical="center" wrapText="1"/>
    </xf>
    <xf numFmtId="0" fontId="15" fillId="0" borderId="67" xfId="0" applyFont="1" applyBorder="1" applyAlignment="1">
      <alignment horizontal="left" vertical="center"/>
    </xf>
    <xf numFmtId="0" fontId="15" fillId="0" borderId="124" xfId="0" applyFont="1" applyBorder="1" applyAlignment="1">
      <alignment horizontal="left" vertical="center"/>
    </xf>
    <xf numFmtId="0" fontId="15" fillId="0" borderId="134" xfId="0" applyFont="1" applyBorder="1" applyAlignment="1">
      <alignment horizontal="left" vertical="center"/>
    </xf>
    <xf numFmtId="0" fontId="15" fillId="0" borderId="65" xfId="0" applyFont="1" applyBorder="1" applyAlignment="1">
      <alignment horizontal="left" vertical="center"/>
    </xf>
    <xf numFmtId="0" fontId="15" fillId="0" borderId="64" xfId="0" applyFont="1" applyBorder="1" applyAlignment="1">
      <alignment horizontal="left" vertical="center"/>
    </xf>
    <xf numFmtId="0" fontId="14" fillId="0" borderId="41" xfId="0" applyFont="1" applyBorder="1" applyAlignment="1">
      <alignment horizontal="center" vertical="center"/>
    </xf>
    <xf numFmtId="0" fontId="13" fillId="0" borderId="41" xfId="0" applyFont="1" applyBorder="1" applyAlignment="1">
      <alignment horizontal="center"/>
    </xf>
    <xf numFmtId="177" fontId="20" fillId="0" borderId="65" xfId="0" applyNumberFormat="1" applyFont="1" applyBorder="1" applyAlignment="1" applyProtection="1">
      <alignment horizontal="right" vertical="center"/>
      <protection hidden="1"/>
    </xf>
    <xf numFmtId="0" fontId="40" fillId="0" borderId="156" xfId="0" applyFont="1" applyBorder="1" applyAlignment="1" applyProtection="1">
      <alignment horizontal="left" shrinkToFit="1"/>
      <protection hidden="1"/>
    </xf>
    <xf numFmtId="0" fontId="40" fillId="0" borderId="0" xfId="0" applyFont="1" applyAlignment="1" applyProtection="1">
      <alignment horizontal="left" shrinkToFit="1"/>
      <protection hidden="1"/>
    </xf>
    <xf numFmtId="177" fontId="20" fillId="0" borderId="13" xfId="0" applyNumberFormat="1" applyFont="1" applyBorder="1" applyAlignment="1" applyProtection="1">
      <alignment horizontal="center" vertical="center"/>
      <protection hidden="1"/>
    </xf>
    <xf numFmtId="177" fontId="20" fillId="0" borderId="157" xfId="0" applyNumberFormat="1" applyFont="1" applyBorder="1" applyAlignment="1" applyProtection="1">
      <alignment horizontal="center" vertical="center"/>
      <protection hidden="1"/>
    </xf>
    <xf numFmtId="182" fontId="14" fillId="0" borderId="67" xfId="0" applyNumberFormat="1" applyFont="1" applyBorder="1" applyAlignment="1" applyProtection="1">
      <alignment horizontal="left" vertical="center"/>
      <protection hidden="1"/>
    </xf>
    <xf numFmtId="182" fontId="14" fillId="0" borderId="155" xfId="0" applyNumberFormat="1" applyFont="1" applyBorder="1" applyAlignment="1" applyProtection="1">
      <alignment horizontal="left" vertical="center"/>
      <protection hidden="1"/>
    </xf>
    <xf numFmtId="177" fontId="14" fillId="9" borderId="138" xfId="0" applyNumberFormat="1" applyFont="1" applyFill="1" applyBorder="1" applyAlignment="1" applyProtection="1">
      <alignment horizontal="center" vertical="center"/>
      <protection hidden="1"/>
    </xf>
    <xf numFmtId="177" fontId="14" fillId="9" borderId="71" xfId="0" applyNumberFormat="1" applyFont="1" applyFill="1" applyBorder="1" applyAlignment="1" applyProtection="1">
      <alignment horizontal="center" vertical="center"/>
      <protection hidden="1"/>
    </xf>
    <xf numFmtId="177" fontId="38" fillId="6" borderId="142" xfId="0" applyNumberFormat="1" applyFont="1" applyFill="1" applyBorder="1" applyAlignment="1" applyProtection="1">
      <alignment horizontal="right" shrinkToFit="1"/>
      <protection hidden="1"/>
    </xf>
    <xf numFmtId="177" fontId="38" fillId="6" borderId="143" xfId="0" applyNumberFormat="1" applyFont="1" applyFill="1" applyBorder="1" applyAlignment="1" applyProtection="1">
      <alignment horizontal="right" shrinkToFit="1"/>
      <protection hidden="1"/>
    </xf>
    <xf numFmtId="177" fontId="38" fillId="6" borderId="144" xfId="0" applyNumberFormat="1" applyFont="1" applyFill="1" applyBorder="1" applyAlignment="1" applyProtection="1">
      <alignment horizontal="right" shrinkToFit="1"/>
      <protection hidden="1"/>
    </xf>
    <xf numFmtId="0" fontId="55" fillId="0" borderId="67" xfId="0" applyFont="1" applyBorder="1" applyAlignment="1" applyProtection="1">
      <alignment horizontal="center" vertical="center" wrapText="1"/>
      <protection hidden="1"/>
    </xf>
    <xf numFmtId="0" fontId="55" fillId="0" borderId="124" xfId="0" applyFont="1" applyBorder="1" applyAlignment="1" applyProtection="1">
      <alignment horizontal="center" vertical="center" wrapText="1"/>
      <protection hidden="1"/>
    </xf>
    <xf numFmtId="177" fontId="14" fillId="0" borderId="36" xfId="0" applyNumberFormat="1" applyFont="1" applyBorder="1" applyAlignment="1" applyProtection="1">
      <alignment horizontal="right" vertical="center"/>
      <protection hidden="1"/>
    </xf>
    <xf numFmtId="177" fontId="14" fillId="0" borderId="67" xfId="0" applyNumberFormat="1" applyFont="1" applyBorder="1" applyAlignment="1" applyProtection="1">
      <alignment horizontal="right" vertical="center"/>
      <protection hidden="1"/>
    </xf>
    <xf numFmtId="0" fontId="33" fillId="0" borderId="0" xfId="0" applyFont="1" applyAlignment="1" applyProtection="1">
      <alignment horizontal="right" shrinkToFit="1"/>
      <protection hidden="1"/>
    </xf>
    <xf numFmtId="0" fontId="39" fillId="0" borderId="0" xfId="0" applyFont="1" applyAlignment="1" applyProtection="1">
      <alignment horizontal="right" shrinkToFit="1"/>
      <protection hidden="1"/>
    </xf>
    <xf numFmtId="0" fontId="39" fillId="0" borderId="145" xfId="0" applyFont="1" applyBorder="1" applyAlignment="1" applyProtection="1">
      <alignment horizontal="right" shrinkToFit="1"/>
      <protection hidden="1"/>
    </xf>
    <xf numFmtId="0" fontId="20" fillId="0" borderId="5" xfId="0" applyFont="1" applyBorder="1" applyAlignment="1" applyProtection="1">
      <alignment horizontal="center" vertical="center" wrapText="1"/>
      <protection hidden="1"/>
    </xf>
    <xf numFmtId="0" fontId="14" fillId="0" borderId="37" xfId="0" applyFont="1" applyBorder="1" applyAlignment="1" applyProtection="1">
      <alignment horizontal="center" vertical="center"/>
      <protection hidden="1"/>
    </xf>
    <xf numFmtId="177" fontId="20" fillId="10" borderId="146" xfId="0" applyNumberFormat="1" applyFont="1" applyFill="1" applyBorder="1" applyAlignment="1" applyProtection="1">
      <alignment horizontal="center" vertical="center"/>
      <protection hidden="1"/>
    </xf>
    <xf numFmtId="177" fontId="20" fillId="10" borderId="118" xfId="0" applyNumberFormat="1" applyFont="1" applyFill="1" applyBorder="1" applyAlignment="1" applyProtection="1">
      <alignment horizontal="center" vertical="center"/>
      <protection hidden="1"/>
    </xf>
    <xf numFmtId="177" fontId="20" fillId="10" borderId="138" xfId="0" applyNumberFormat="1" applyFont="1" applyFill="1" applyBorder="1" applyAlignment="1" applyProtection="1">
      <alignment horizontal="center" vertical="center"/>
      <protection hidden="1"/>
    </xf>
    <xf numFmtId="177" fontId="14" fillId="0" borderId="247" xfId="0" applyNumberFormat="1" applyFont="1" applyBorder="1" applyAlignment="1" applyProtection="1">
      <alignment horizontal="right" vertical="center"/>
      <protection hidden="1"/>
    </xf>
    <xf numFmtId="0" fontId="0" fillId="0" borderId="136" xfId="0" applyBorder="1" applyAlignment="1">
      <alignment horizontal="right" vertical="center"/>
    </xf>
    <xf numFmtId="177" fontId="14" fillId="0" borderId="247" xfId="0" applyNumberFormat="1" applyFont="1" applyBorder="1" applyAlignment="1" applyProtection="1">
      <alignment horizontal="right" vertical="center" wrapText="1"/>
      <protection hidden="1"/>
    </xf>
    <xf numFmtId="0" fontId="0" fillId="0" borderId="136" xfId="0" applyBorder="1" applyAlignment="1">
      <alignment horizontal="right" vertical="center" wrapText="1"/>
    </xf>
    <xf numFmtId="0" fontId="14" fillId="0" borderId="37" xfId="0" applyFont="1" applyBorder="1" applyAlignment="1" applyProtection="1">
      <alignment horizontal="right" vertical="center"/>
      <protection hidden="1"/>
    </xf>
    <xf numFmtId="0" fontId="14" fillId="0" borderId="63" xfId="0" applyFont="1" applyBorder="1" applyAlignment="1" applyProtection="1">
      <alignment horizontal="right" vertical="center"/>
      <protection hidden="1"/>
    </xf>
    <xf numFmtId="0" fontId="14" fillId="0" borderId="63" xfId="0"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122" xfId="0" applyFont="1" applyBorder="1" applyAlignment="1" applyProtection="1">
      <alignment horizontal="center" vertical="center"/>
      <protection hidden="1"/>
    </xf>
    <xf numFmtId="181" fontId="14" fillId="0" borderId="133" xfId="0" applyNumberFormat="1" applyFont="1" applyBorder="1" applyAlignment="1" applyProtection="1">
      <alignment horizontal="center" vertical="center"/>
      <protection hidden="1"/>
    </xf>
    <xf numFmtId="177" fontId="14" fillId="0" borderId="134" xfId="0" applyNumberFormat="1" applyFont="1" applyBorder="1" applyAlignment="1" applyProtection="1">
      <alignment horizontal="center" vertical="center" shrinkToFit="1"/>
      <protection hidden="1"/>
    </xf>
    <xf numFmtId="177" fontId="14" fillId="0" borderId="65" xfId="0" applyNumberFormat="1" applyFont="1" applyBorder="1" applyAlignment="1" applyProtection="1">
      <alignment horizontal="center" vertical="center" shrinkToFit="1"/>
      <protection hidden="1"/>
    </xf>
    <xf numFmtId="177" fontId="14" fillId="0" borderId="135" xfId="0" applyNumberFormat="1" applyFont="1" applyBorder="1" applyAlignment="1" applyProtection="1">
      <alignment horizontal="center" vertical="center" shrinkToFit="1"/>
      <protection hidden="1"/>
    </xf>
    <xf numFmtId="0" fontId="61" fillId="0" borderId="136" xfId="0" applyFont="1" applyBorder="1" applyAlignment="1">
      <alignment horizontal="center" vertical="center" wrapText="1"/>
    </xf>
    <xf numFmtId="0" fontId="61" fillId="0" borderId="137" xfId="0" applyFont="1" applyBorder="1" applyAlignment="1">
      <alignment horizontal="center" vertical="center" wrapText="1"/>
    </xf>
    <xf numFmtId="177" fontId="14" fillId="0" borderId="64" xfId="0" applyNumberFormat="1"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protection hidden="1"/>
    </xf>
    <xf numFmtId="183" fontId="14" fillId="0" borderId="67" xfId="0" applyNumberFormat="1" applyFont="1" applyBorder="1" applyAlignment="1" applyProtection="1">
      <alignment horizontal="left" vertical="center" shrinkToFit="1"/>
      <protection hidden="1"/>
    </xf>
    <xf numFmtId="183" fontId="14" fillId="0" borderId="124" xfId="0" applyNumberFormat="1" applyFont="1" applyBorder="1" applyAlignment="1" applyProtection="1">
      <alignment horizontal="left" vertical="center" shrinkToFit="1"/>
      <protection hidden="1"/>
    </xf>
    <xf numFmtId="0" fontId="20" fillId="0" borderId="123" xfId="0" applyFont="1" applyBorder="1" applyAlignment="1" applyProtection="1">
      <alignment horizontal="center"/>
      <protection hidden="1"/>
    </xf>
    <xf numFmtId="0" fontId="20" fillId="0" borderId="67" xfId="0" applyFont="1" applyBorder="1" applyAlignment="1" applyProtection="1">
      <alignment horizontal="center"/>
      <protection hidden="1"/>
    </xf>
    <xf numFmtId="0" fontId="20" fillId="0" borderId="124" xfId="0" applyFont="1" applyBorder="1" applyAlignment="1" applyProtection="1">
      <alignment horizontal="center"/>
      <protection hidden="1"/>
    </xf>
    <xf numFmtId="0" fontId="46" fillId="0" borderId="126" xfId="0" applyFont="1" applyBorder="1" applyAlignment="1" applyProtection="1">
      <alignment horizontal="left" vertical="center"/>
      <protection hidden="1"/>
    </xf>
    <xf numFmtId="0" fontId="46" fillId="0" borderId="65" xfId="0" applyFont="1" applyBorder="1" applyAlignment="1" applyProtection="1">
      <alignment horizontal="left" vertical="center"/>
      <protection hidden="1"/>
    </xf>
    <xf numFmtId="0" fontId="46" fillId="0" borderId="64" xfId="0" applyFont="1" applyBorder="1" applyAlignment="1" applyProtection="1">
      <alignment horizontal="left" vertical="center"/>
      <protection hidden="1"/>
    </xf>
    <xf numFmtId="177" fontId="14" fillId="9" borderId="140" xfId="0" applyNumberFormat="1" applyFont="1" applyFill="1" applyBorder="1" applyAlignment="1" applyProtection="1">
      <alignment horizontal="center" vertical="center"/>
      <protection hidden="1"/>
    </xf>
    <xf numFmtId="177" fontId="14" fillId="9" borderId="7" xfId="0" applyNumberFormat="1" applyFont="1" applyFill="1" applyBorder="1" applyAlignment="1" applyProtection="1">
      <alignment horizontal="center" vertical="center"/>
      <protection hidden="1"/>
    </xf>
    <xf numFmtId="0" fontId="14" fillId="0" borderId="133" xfId="0" applyFont="1" applyBorder="1" applyAlignment="1" applyProtection="1">
      <alignment horizontal="center" vertical="center"/>
      <protection hidden="1"/>
    </xf>
    <xf numFmtId="177" fontId="14" fillId="0" borderId="133" xfId="0" applyNumberFormat="1" applyFont="1" applyBorder="1" applyAlignment="1" applyProtection="1">
      <alignment horizontal="center" vertical="center"/>
      <protection hidden="1"/>
    </xf>
    <xf numFmtId="0" fontId="68" fillId="0" borderId="0" xfId="0" applyFont="1" applyAlignment="1">
      <alignment horizontal="center" vertical="center"/>
    </xf>
    <xf numFmtId="0" fontId="20" fillId="6" borderId="141" xfId="0" applyFont="1" applyFill="1" applyBorder="1" applyAlignment="1" applyProtection="1">
      <alignment horizontal="center" vertical="center"/>
      <protection hidden="1"/>
    </xf>
    <xf numFmtId="0" fontId="20" fillId="6" borderId="139" xfId="0" applyFont="1" applyFill="1" applyBorder="1" applyAlignment="1" applyProtection="1">
      <alignment horizontal="center" vertical="center"/>
      <protection hidden="1"/>
    </xf>
    <xf numFmtId="0" fontId="20" fillId="6" borderId="71" xfId="0" applyFont="1" applyFill="1" applyBorder="1" applyAlignment="1" applyProtection="1">
      <alignment horizontal="center" vertical="center"/>
      <protection hidden="1"/>
    </xf>
    <xf numFmtId="0" fontId="20" fillId="10" borderId="141" xfId="0" applyFont="1" applyFill="1" applyBorder="1" applyAlignment="1" applyProtection="1">
      <alignment horizontal="center" vertical="center" wrapText="1"/>
      <protection hidden="1"/>
    </xf>
    <xf numFmtId="0" fontId="20" fillId="10" borderId="139" xfId="0" applyFont="1" applyFill="1" applyBorder="1" applyAlignment="1" applyProtection="1">
      <alignment horizontal="center" vertical="center" wrapText="1"/>
      <protection hidden="1"/>
    </xf>
    <xf numFmtId="0" fontId="20" fillId="10" borderId="71" xfId="0" applyFont="1" applyFill="1" applyBorder="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15" fillId="0" borderId="37" xfId="0" applyFont="1" applyBorder="1" applyAlignment="1" applyProtection="1">
      <alignment horizontal="center" vertical="center" shrinkToFit="1"/>
      <protection hidden="1"/>
    </xf>
    <xf numFmtId="0" fontId="15" fillId="0" borderId="63" xfId="0" applyFont="1" applyBorder="1" applyAlignment="1" applyProtection="1">
      <alignment horizontal="center" vertical="center" shrinkToFit="1"/>
      <protection hidden="1"/>
    </xf>
    <xf numFmtId="0" fontId="15" fillId="0" borderId="62" xfId="0" applyFont="1" applyBorder="1" applyAlignment="1" applyProtection="1">
      <alignment horizontal="center" vertical="center" shrinkToFit="1"/>
      <protection hidden="1"/>
    </xf>
    <xf numFmtId="0" fontId="14" fillId="0" borderId="196" xfId="0" applyFont="1" applyBorder="1" applyAlignment="1">
      <alignment horizontal="center" vertical="center"/>
    </xf>
    <xf numFmtId="0" fontId="14" fillId="0" borderId="136" xfId="0" applyFont="1" applyBorder="1" applyAlignment="1">
      <alignment horizontal="center" vertical="center"/>
    </xf>
    <xf numFmtId="0" fontId="14" fillId="0" borderId="137" xfId="0" applyFont="1" applyBorder="1" applyAlignment="1">
      <alignment horizontal="center" vertical="center"/>
    </xf>
    <xf numFmtId="184" fontId="63" fillId="0" borderId="136" xfId="0" applyNumberFormat="1" applyFont="1" applyBorder="1" applyAlignment="1">
      <alignment horizontal="right" vertical="center"/>
    </xf>
    <xf numFmtId="184" fontId="63" fillId="0" borderId="74" xfId="0" applyNumberFormat="1" applyFont="1" applyBorder="1" applyAlignment="1">
      <alignment horizontal="right" vertical="center"/>
    </xf>
    <xf numFmtId="38" fontId="64" fillId="0" borderId="125" xfId="1" applyFont="1" applyBorder="1" applyAlignment="1"/>
    <xf numFmtId="38" fontId="64" fillId="0" borderId="0" xfId="1" applyFont="1" applyAlignment="1"/>
    <xf numFmtId="0" fontId="16" fillId="0" borderId="238" xfId="0" applyFont="1" applyBorder="1" applyAlignment="1">
      <alignment vertical="top" wrapText="1"/>
    </xf>
    <xf numFmtId="0" fontId="16" fillId="0" borderId="244" xfId="0" applyFont="1" applyBorder="1" applyAlignment="1">
      <alignment vertical="top" wrapText="1"/>
    </xf>
    <xf numFmtId="0" fontId="16" fillId="0" borderId="239" xfId="0" applyFont="1" applyBorder="1" applyAlignment="1">
      <alignment vertical="top" wrapText="1"/>
    </xf>
    <xf numFmtId="0" fontId="16" fillId="0" borderId="240" xfId="0" applyFont="1" applyBorder="1" applyAlignment="1">
      <alignment vertical="top" wrapText="1"/>
    </xf>
    <xf numFmtId="0" fontId="16" fillId="0" borderId="241" xfId="0" applyFont="1" applyBorder="1" applyAlignment="1">
      <alignment vertical="top" wrapText="1"/>
    </xf>
    <xf numFmtId="0" fontId="16" fillId="0" borderId="242" xfId="0" applyFont="1" applyBorder="1" applyAlignment="1">
      <alignment vertical="top" wrapText="1"/>
    </xf>
    <xf numFmtId="0" fontId="0" fillId="18" borderId="160" xfId="0" applyFill="1" applyBorder="1" applyAlignment="1" applyProtection="1">
      <alignment horizontal="center" vertical="center"/>
      <protection locked="0"/>
    </xf>
    <xf numFmtId="0" fontId="0" fillId="18" borderId="161" xfId="0" applyFill="1" applyBorder="1" applyAlignment="1" applyProtection="1">
      <alignment horizontal="center" vertical="center"/>
      <protection locked="0"/>
    </xf>
    <xf numFmtId="0" fontId="0" fillId="18" borderId="162" xfId="0" applyFill="1" applyBorder="1" applyAlignment="1" applyProtection="1">
      <alignment horizontal="center" vertical="center"/>
      <protection locked="0"/>
    </xf>
    <xf numFmtId="0" fontId="0" fillId="18" borderId="163" xfId="0" applyFill="1" applyBorder="1" applyAlignment="1" applyProtection="1">
      <alignment horizontal="center" vertical="center"/>
      <protection locked="0"/>
    </xf>
    <xf numFmtId="0" fontId="0" fillId="18" borderId="164" xfId="0" applyFill="1" applyBorder="1" applyAlignment="1" applyProtection="1">
      <alignment horizontal="center" vertical="center"/>
      <protection locked="0"/>
    </xf>
    <xf numFmtId="0" fontId="0" fillId="18" borderId="165" xfId="0" applyFill="1" applyBorder="1" applyAlignment="1" applyProtection="1">
      <alignment horizontal="center" vertical="center"/>
      <protection locked="0"/>
    </xf>
    <xf numFmtId="0" fontId="0" fillId="18" borderId="107" xfId="0" applyFill="1" applyBorder="1" applyAlignment="1" applyProtection="1">
      <alignment horizontal="center" vertical="center"/>
      <protection locked="0"/>
    </xf>
    <xf numFmtId="0" fontId="0" fillId="18" borderId="81" xfId="0" applyFill="1" applyBorder="1" applyAlignment="1" applyProtection="1">
      <alignment horizontal="center" vertical="center"/>
      <protection locked="0"/>
    </xf>
    <xf numFmtId="0" fontId="0" fillId="18" borderId="166" xfId="0" applyFill="1" applyBorder="1" applyAlignment="1" applyProtection="1">
      <alignment horizontal="center" vertical="center"/>
      <protection locked="0"/>
    </xf>
    <xf numFmtId="0" fontId="40" fillId="0" borderId="180" xfId="0" applyFont="1" applyBorder="1" applyAlignment="1" applyProtection="1">
      <alignment horizontal="center" vertical="center"/>
      <protection hidden="1"/>
    </xf>
    <xf numFmtId="0" fontId="40" fillId="0" borderId="181" xfId="0" applyFont="1" applyBorder="1" applyAlignment="1" applyProtection="1">
      <alignment horizontal="center" vertical="center"/>
      <protection hidden="1"/>
    </xf>
    <xf numFmtId="0" fontId="40" fillId="0" borderId="182" xfId="0" applyFont="1" applyBorder="1" applyAlignment="1" applyProtection="1">
      <alignment horizontal="center" vertical="center"/>
      <protection hidden="1"/>
    </xf>
    <xf numFmtId="0" fontId="40" fillId="0" borderId="104" xfId="0" applyFont="1" applyBorder="1" applyAlignment="1" applyProtection="1">
      <alignment horizontal="center" vertical="center"/>
      <protection hidden="1"/>
    </xf>
    <xf numFmtId="0" fontId="40" fillId="0" borderId="178" xfId="0" applyFont="1" applyBorder="1" applyAlignment="1" applyProtection="1">
      <alignment horizontal="center" vertical="center"/>
      <protection hidden="1"/>
    </xf>
    <xf numFmtId="0" fontId="40" fillId="0" borderId="179" xfId="0" applyFont="1" applyBorder="1" applyAlignment="1" applyProtection="1">
      <alignment horizontal="center" vertical="center"/>
      <protection hidden="1"/>
    </xf>
    <xf numFmtId="0" fontId="40" fillId="0" borderId="83" xfId="0" applyFont="1" applyBorder="1" applyAlignment="1" applyProtection="1">
      <alignment horizontal="center" vertical="center"/>
      <protection hidden="1"/>
    </xf>
    <xf numFmtId="0" fontId="40" fillId="0" borderId="183" xfId="0" applyFont="1" applyBorder="1" applyAlignment="1" applyProtection="1">
      <alignment horizontal="center" vertical="center"/>
      <protection hidden="1"/>
    </xf>
    <xf numFmtId="0" fontId="40" fillId="0" borderId="184" xfId="0" applyFont="1" applyBorder="1" applyAlignment="1" applyProtection="1">
      <alignment horizontal="center" vertical="center"/>
      <protection hidden="1"/>
    </xf>
    <xf numFmtId="184" fontId="63" fillId="0" borderId="159" xfId="0" applyNumberFormat="1" applyFont="1" applyBorder="1" applyAlignment="1">
      <alignment horizontal="right" vertical="center"/>
    </xf>
    <xf numFmtId="184" fontId="63" fillId="0" borderId="72" xfId="0" applyNumberFormat="1" applyFont="1" applyBorder="1" applyAlignment="1">
      <alignment horizontal="right" vertical="center"/>
    </xf>
    <xf numFmtId="0" fontId="40" fillId="0" borderId="167" xfId="0" applyFont="1" applyBorder="1" applyAlignment="1" applyProtection="1">
      <alignment horizontal="center" vertical="center"/>
      <protection hidden="1"/>
    </xf>
    <xf numFmtId="0" fontId="40" fillId="0" borderId="168" xfId="0" applyFont="1" applyBorder="1" applyAlignment="1" applyProtection="1">
      <alignment horizontal="center" vertical="center"/>
      <protection hidden="1"/>
    </xf>
    <xf numFmtId="0" fontId="40" fillId="0" borderId="169" xfId="0" applyFont="1" applyBorder="1" applyAlignment="1" applyProtection="1">
      <alignment horizontal="center" vertical="center"/>
      <protection hidden="1"/>
    </xf>
    <xf numFmtId="0" fontId="42" fillId="0" borderId="0" xfId="0" applyFont="1" applyAlignment="1">
      <alignment vertical="center"/>
    </xf>
    <xf numFmtId="0" fontId="14" fillId="0" borderId="193" xfId="0" applyFont="1" applyBorder="1" applyAlignment="1">
      <alignment horizontal="center" vertical="center"/>
    </xf>
    <xf numFmtId="0" fontId="14" fillId="0" borderId="159" xfId="0" applyFont="1" applyBorder="1" applyAlignment="1">
      <alignment horizontal="center" vertical="center"/>
    </xf>
    <xf numFmtId="0" fontId="14" fillId="0" borderId="194" xfId="0" applyFont="1" applyBorder="1" applyAlignment="1">
      <alignment horizontal="center" vertical="center"/>
    </xf>
    <xf numFmtId="0" fontId="14" fillId="0" borderId="43" xfId="0" applyFont="1" applyBorder="1" applyAlignment="1">
      <alignment horizontal="center" vertical="center"/>
    </xf>
    <xf numFmtId="0" fontId="14" fillId="0" borderId="63" xfId="0" applyFont="1" applyBorder="1" applyAlignment="1">
      <alignment horizontal="center" vertical="center"/>
    </xf>
    <xf numFmtId="0" fontId="14" fillId="0" borderId="62" xfId="0" applyFont="1" applyBorder="1" applyAlignment="1">
      <alignment horizontal="center" vertical="center"/>
    </xf>
    <xf numFmtId="0" fontId="40" fillId="0" borderId="195" xfId="0" applyFont="1" applyBorder="1" applyAlignment="1">
      <alignment horizontal="center" vertical="center"/>
    </xf>
    <xf numFmtId="0" fontId="40" fillId="0" borderId="190" xfId="0" applyFont="1" applyBorder="1" applyAlignment="1">
      <alignment horizontal="center" vertical="center"/>
    </xf>
    <xf numFmtId="0" fontId="40" fillId="0" borderId="147" xfId="0" applyFont="1" applyBorder="1" applyAlignment="1">
      <alignment horizontal="center" vertical="center"/>
    </xf>
    <xf numFmtId="0" fontId="0" fillId="0" borderId="76" xfId="0" applyBorder="1" applyAlignment="1">
      <alignment horizontal="center" vertical="center"/>
    </xf>
    <xf numFmtId="0" fontId="0" fillId="0" borderId="188" xfId="0" applyBorder="1" applyAlignment="1">
      <alignment horizontal="center" vertical="center"/>
    </xf>
    <xf numFmtId="0" fontId="0" fillId="0" borderId="203" xfId="0" applyBorder="1" applyAlignment="1">
      <alignment horizontal="center" vertical="center"/>
    </xf>
    <xf numFmtId="184" fontId="63" fillId="0" borderId="63" xfId="0" applyNumberFormat="1" applyFont="1" applyBorder="1" applyAlignment="1">
      <alignment horizontal="right" vertical="center"/>
    </xf>
    <xf numFmtId="184" fontId="63" fillId="0" borderId="133" xfId="0" applyNumberFormat="1" applyFont="1" applyBorder="1" applyAlignment="1">
      <alignment horizontal="right" vertical="center"/>
    </xf>
    <xf numFmtId="0" fontId="0" fillId="0" borderId="77" xfId="0" applyBorder="1" applyAlignment="1">
      <alignment horizontal="center" vertical="center"/>
    </xf>
    <xf numFmtId="0" fontId="0" fillId="0" borderId="185" xfId="0" applyBorder="1" applyAlignment="1">
      <alignment horizontal="center" vertical="center"/>
    </xf>
    <xf numFmtId="0" fontId="0" fillId="0" borderId="186" xfId="0" applyBorder="1" applyAlignment="1">
      <alignment horizontal="center" vertical="center"/>
    </xf>
    <xf numFmtId="0" fontId="6" fillId="0" borderId="0" xfId="0" applyFont="1" applyAlignment="1">
      <alignment vertical="center"/>
    </xf>
    <xf numFmtId="184" fontId="63" fillId="0" borderId="187" xfId="0" applyNumberFormat="1" applyFont="1" applyBorder="1" applyAlignment="1">
      <alignment horizontal="right" vertical="center"/>
    </xf>
    <xf numFmtId="184" fontId="63" fillId="0" borderId="188" xfId="0" applyNumberFormat="1" applyFont="1" applyBorder="1" applyAlignment="1">
      <alignment horizontal="right" vertical="center"/>
    </xf>
    <xf numFmtId="184" fontId="63" fillId="0" borderId="78" xfId="0" applyNumberFormat="1" applyFont="1" applyBorder="1" applyAlignment="1">
      <alignment horizontal="right" vertical="center"/>
    </xf>
    <xf numFmtId="184" fontId="63" fillId="0" borderId="192" xfId="0" applyNumberFormat="1" applyFont="1" applyBorder="1" applyAlignment="1">
      <alignment horizontal="right" vertical="center"/>
    </xf>
    <xf numFmtId="184" fontId="63" fillId="0" borderId="185" xfId="0" applyNumberFormat="1" applyFont="1" applyBorder="1" applyAlignment="1">
      <alignment horizontal="right" vertical="center"/>
    </xf>
    <xf numFmtId="184" fontId="63" fillId="0" borderId="79" xfId="0" applyNumberFormat="1" applyFont="1" applyBorder="1" applyAlignment="1">
      <alignment horizontal="right" vertical="center"/>
    </xf>
    <xf numFmtId="0" fontId="40" fillId="0" borderId="170" xfId="0" applyFont="1" applyBorder="1" applyAlignment="1" applyProtection="1">
      <alignment horizontal="center" vertical="center"/>
      <protection hidden="1"/>
    </xf>
    <xf numFmtId="0" fontId="40" fillId="0" borderId="11" xfId="0" applyFont="1" applyBorder="1" applyAlignment="1" applyProtection="1">
      <alignment horizontal="center" vertical="center"/>
      <protection hidden="1"/>
    </xf>
    <xf numFmtId="0" fontId="40" fillId="0" borderId="171" xfId="0" applyFont="1" applyBorder="1" applyAlignment="1" applyProtection="1">
      <alignment horizontal="center" vertical="center"/>
      <protection hidden="1"/>
    </xf>
    <xf numFmtId="0" fontId="40" fillId="0" borderId="125" xfId="0" applyFont="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40" fillId="0" borderId="114" xfId="0" applyFont="1" applyBorder="1" applyAlignment="1" applyProtection="1">
      <alignment horizontal="center" vertical="center"/>
      <protection hidden="1"/>
    </xf>
    <xf numFmtId="0" fontId="40" fillId="0" borderId="126" xfId="0" applyFont="1" applyBorder="1" applyAlignment="1" applyProtection="1">
      <alignment horizontal="center" vertical="center"/>
      <protection hidden="1"/>
    </xf>
    <xf numFmtId="0" fontId="40" fillId="0" borderId="65" xfId="0" applyFont="1" applyBorder="1" applyAlignment="1" applyProtection="1">
      <alignment horizontal="center" vertical="center"/>
      <protection hidden="1"/>
    </xf>
    <xf numFmtId="0" fontId="40" fillId="0" borderId="172" xfId="0" applyFont="1" applyBorder="1" applyAlignment="1" applyProtection="1">
      <alignment horizontal="center" vertical="center"/>
      <protection hidden="1"/>
    </xf>
    <xf numFmtId="0" fontId="40" fillId="0" borderId="123" xfId="0" applyFont="1" applyBorder="1" applyAlignment="1" applyProtection="1">
      <alignment horizontal="center" vertical="center"/>
      <protection hidden="1"/>
    </xf>
    <xf numFmtId="0" fontId="40" fillId="0" borderId="67" xfId="0" applyFont="1" applyBorder="1" applyAlignment="1" applyProtection="1">
      <alignment horizontal="center" vertical="center"/>
      <protection hidden="1"/>
    </xf>
    <xf numFmtId="0" fontId="40" fillId="0" borderId="173" xfId="0" applyFont="1" applyBorder="1" applyAlignment="1" applyProtection="1">
      <alignment horizontal="center" vertical="center"/>
      <protection hidden="1"/>
    </xf>
    <xf numFmtId="0" fontId="6" fillId="0" borderId="0" xfId="0" applyFont="1" applyAlignment="1" applyProtection="1">
      <alignment vertical="center"/>
      <protection hidden="1"/>
    </xf>
    <xf numFmtId="0" fontId="40" fillId="0" borderId="174" xfId="0" applyFont="1" applyBorder="1" applyAlignment="1" applyProtection="1">
      <alignment horizontal="center" vertical="center"/>
      <protection hidden="1"/>
    </xf>
    <xf numFmtId="0" fontId="40" fillId="0" borderId="61" xfId="0" applyFont="1" applyBorder="1" applyAlignment="1" applyProtection="1">
      <alignment horizontal="center" vertical="center"/>
      <protection hidden="1"/>
    </xf>
    <xf numFmtId="0" fontId="40" fillId="0" borderId="175" xfId="0" applyFont="1" applyBorder="1" applyAlignment="1" applyProtection="1">
      <alignment horizontal="center" vertical="center"/>
      <protection hidden="1"/>
    </xf>
    <xf numFmtId="0" fontId="40" fillId="0" borderId="164" xfId="0" applyFont="1" applyBorder="1" applyAlignment="1" applyProtection="1">
      <alignment horizontal="center" vertical="center"/>
      <protection hidden="1"/>
    </xf>
    <xf numFmtId="0" fontId="40" fillId="0" borderId="176" xfId="0" applyFont="1" applyBorder="1" applyAlignment="1" applyProtection="1">
      <alignment horizontal="center" vertical="center"/>
      <protection hidden="1"/>
    </xf>
    <xf numFmtId="0" fontId="40" fillId="0" borderId="177" xfId="0" applyFont="1" applyBorder="1" applyAlignment="1" applyProtection="1">
      <alignment horizontal="center" vertical="center"/>
      <protection hidden="1"/>
    </xf>
    <xf numFmtId="184" fontId="6" fillId="0" borderId="198" xfId="0" applyNumberFormat="1" applyFont="1" applyBorder="1" applyAlignment="1">
      <alignment horizontal="center" vertical="center"/>
    </xf>
    <xf numFmtId="184" fontId="6" fillId="0" borderId="204" xfId="0" applyNumberFormat="1" applyFont="1" applyBorder="1" applyAlignment="1">
      <alignment horizontal="center" vertical="center"/>
    </xf>
    <xf numFmtId="184" fontId="6" fillId="0" borderId="200" xfId="0" applyNumberFormat="1" applyFont="1" applyBorder="1" applyAlignment="1">
      <alignment horizontal="center" vertical="center"/>
    </xf>
    <xf numFmtId="184" fontId="6" fillId="0" borderId="205" xfId="0" applyNumberFormat="1" applyFont="1" applyBorder="1" applyAlignment="1">
      <alignment horizontal="center" vertical="center"/>
    </xf>
    <xf numFmtId="184" fontId="6" fillId="0" borderId="202" xfId="0" applyNumberFormat="1" applyFont="1" applyBorder="1" applyAlignment="1">
      <alignment horizontal="center" vertical="center"/>
    </xf>
    <xf numFmtId="184" fontId="6" fillId="0" borderId="206" xfId="0" applyNumberFormat="1" applyFont="1" applyBorder="1" applyAlignment="1">
      <alignment horizontal="center" vertical="center"/>
    </xf>
    <xf numFmtId="0" fontId="60" fillId="0" borderId="148" xfId="0" applyFont="1" applyBorder="1" applyAlignment="1">
      <alignment horizontal="center" vertical="center"/>
    </xf>
    <xf numFmtId="0" fontId="59" fillId="0" borderId="207" xfId="0" applyFont="1" applyBorder="1" applyAlignment="1">
      <alignment horizontal="center" vertical="center"/>
    </xf>
    <xf numFmtId="0" fontId="6" fillId="0" borderId="141" xfId="0" applyFont="1" applyBorder="1" applyAlignment="1">
      <alignment horizontal="center" vertical="center"/>
    </xf>
    <xf numFmtId="0" fontId="6" fillId="0" borderId="139" xfId="0" applyFont="1" applyBorder="1" applyAlignment="1">
      <alignment horizontal="center" vertical="center"/>
    </xf>
    <xf numFmtId="0" fontId="64" fillId="0" borderId="138" xfId="0" applyFont="1" applyBorder="1" applyAlignment="1">
      <alignment horizontal="right" vertical="center"/>
    </xf>
    <xf numFmtId="0" fontId="64" fillId="0" borderId="139" xfId="0" applyFont="1" applyBorder="1" applyAlignment="1">
      <alignment horizontal="right" vertical="center"/>
    </xf>
    <xf numFmtId="0" fontId="64" fillId="0" borderId="208" xfId="0" applyFont="1" applyBorder="1" applyAlignment="1">
      <alignment horizontal="right" vertical="center"/>
    </xf>
    <xf numFmtId="0" fontId="63" fillId="0" borderId="0" xfId="0" applyFont="1" applyAlignment="1" applyProtection="1">
      <alignment vertical="center" wrapText="1"/>
      <protection hidden="1"/>
    </xf>
    <xf numFmtId="0" fontId="40" fillId="0" borderId="76" xfId="0" applyFont="1" applyBorder="1" applyAlignment="1">
      <alignment horizontal="center" vertical="center"/>
    </xf>
    <xf numFmtId="0" fontId="40" fillId="0" borderId="188" xfId="0" applyFont="1" applyBorder="1" applyAlignment="1">
      <alignment horizontal="center" vertical="center"/>
    </xf>
    <xf numFmtId="0" fontId="40" fillId="0" borderId="203" xfId="0" applyFont="1" applyBorder="1" applyAlignment="1">
      <alignment horizontal="center" vertical="center"/>
    </xf>
    <xf numFmtId="0" fontId="42" fillId="0" borderId="61" xfId="0" applyFont="1" applyBorder="1" applyAlignment="1" applyProtection="1">
      <alignment vertical="center"/>
      <protection hidden="1"/>
    </xf>
    <xf numFmtId="0" fontId="0" fillId="0" borderId="197" xfId="0" applyBorder="1" applyAlignment="1">
      <alignment horizontal="center" vertical="center" wrapText="1"/>
    </xf>
    <xf numFmtId="0" fontId="0" fillId="0" borderId="198" xfId="0" applyBorder="1" applyAlignment="1">
      <alignment horizontal="center" vertical="center"/>
    </xf>
    <xf numFmtId="0" fontId="0" fillId="0" borderId="199" xfId="0" applyBorder="1" applyAlignment="1">
      <alignment horizontal="center" vertical="center"/>
    </xf>
    <xf numFmtId="0" fontId="0" fillId="0" borderId="200" xfId="0" applyBorder="1" applyAlignment="1">
      <alignment horizontal="center" vertical="center"/>
    </xf>
    <xf numFmtId="0" fontId="0" fillId="0" borderId="201" xfId="0" applyBorder="1" applyAlignment="1">
      <alignment horizontal="center" vertical="center"/>
    </xf>
    <xf numFmtId="0" fontId="0" fillId="0" borderId="202" xfId="0" applyBorder="1" applyAlignment="1">
      <alignment horizontal="center" vertical="center"/>
    </xf>
    <xf numFmtId="0" fontId="40" fillId="0" borderId="77" xfId="0" applyFont="1" applyBorder="1" applyAlignment="1">
      <alignment horizontal="center" vertical="center"/>
    </xf>
    <xf numFmtId="0" fontId="40" fillId="0" borderId="185" xfId="0" applyFont="1" applyBorder="1" applyAlignment="1">
      <alignment horizontal="center" vertical="center"/>
    </xf>
    <xf numFmtId="0" fontId="40" fillId="0" borderId="186" xfId="0" applyFont="1" applyBorder="1" applyAlignment="1">
      <alignment horizontal="center" vertical="center"/>
    </xf>
    <xf numFmtId="184" fontId="63" fillId="0" borderId="189" xfId="0" applyNumberFormat="1" applyFont="1" applyBorder="1" applyAlignment="1">
      <alignment horizontal="right" vertical="center"/>
    </xf>
    <xf numFmtId="184" fontId="63" fillId="0" borderId="190" xfId="0" applyNumberFormat="1" applyFont="1" applyBorder="1" applyAlignment="1">
      <alignment horizontal="right" vertical="center"/>
    </xf>
    <xf numFmtId="184" fontId="63" fillId="0" borderId="191" xfId="0" applyNumberFormat="1" applyFont="1" applyBorder="1" applyAlignment="1">
      <alignment horizontal="right" vertical="center"/>
    </xf>
    <xf numFmtId="0" fontId="56" fillId="0" borderId="209" xfId="0" applyFont="1" applyBorder="1" applyAlignment="1" applyProtection="1">
      <alignment horizontal="center" vertical="center" wrapText="1"/>
      <protection hidden="1"/>
    </xf>
    <xf numFmtId="0" fontId="56" fillId="0" borderId="210" xfId="0" applyFont="1" applyBorder="1" applyAlignment="1" applyProtection="1">
      <alignment horizontal="center" vertical="center"/>
      <protection hidden="1"/>
    </xf>
    <xf numFmtId="0" fontId="56" fillId="0" borderId="47" xfId="0" applyFont="1" applyBorder="1" applyAlignment="1" applyProtection="1">
      <alignment horizontal="center" vertical="center"/>
      <protection hidden="1"/>
    </xf>
    <xf numFmtId="0" fontId="56" fillId="0" borderId="211" xfId="0" applyFont="1" applyBorder="1" applyAlignment="1" applyProtection="1">
      <alignment horizontal="center" vertical="center"/>
      <protection hidden="1"/>
    </xf>
    <xf numFmtId="0" fontId="7" fillId="0" borderId="62" xfId="0" applyFont="1" applyBorder="1" applyAlignment="1" applyProtection="1">
      <alignment horizontal="left"/>
      <protection hidden="1"/>
    </xf>
    <xf numFmtId="0" fontId="7" fillId="0" borderId="41" xfId="0" applyFont="1" applyBorder="1" applyAlignment="1" applyProtection="1">
      <alignment horizontal="left"/>
      <protection hidden="1"/>
    </xf>
    <xf numFmtId="0" fontId="7" fillId="0" borderId="6" xfId="0" applyFont="1" applyBorder="1" applyAlignment="1" applyProtection="1">
      <alignment horizontal="left"/>
      <protection hidden="1"/>
    </xf>
    <xf numFmtId="176" fontId="5" fillId="0" borderId="222" xfId="0" applyNumberFormat="1" applyFont="1" applyBorder="1" applyAlignment="1" applyProtection="1">
      <alignment horizontal="right"/>
      <protection hidden="1"/>
    </xf>
    <xf numFmtId="176" fontId="5" fillId="0" borderId="155" xfId="0" applyNumberFormat="1" applyFont="1" applyBorder="1" applyAlignment="1" applyProtection="1">
      <alignment horizontal="right"/>
      <protection hidden="1"/>
    </xf>
    <xf numFmtId="176" fontId="5" fillId="12" borderId="220" xfId="0" applyNumberFormat="1" applyFont="1" applyFill="1" applyBorder="1" applyAlignment="1" applyProtection="1">
      <alignment horizontal="right"/>
      <protection hidden="1"/>
    </xf>
    <xf numFmtId="176" fontId="5" fillId="12" borderId="221" xfId="0" applyNumberFormat="1" applyFont="1" applyFill="1" applyBorder="1" applyAlignment="1" applyProtection="1">
      <alignment horizontal="right"/>
      <protection hidden="1"/>
    </xf>
    <xf numFmtId="176" fontId="5" fillId="12" borderId="228" xfId="0" applyNumberFormat="1" applyFont="1" applyFill="1" applyBorder="1" applyAlignment="1" applyProtection="1">
      <alignment horizontal="right"/>
      <protection hidden="1"/>
    </xf>
    <xf numFmtId="176" fontId="5" fillId="12" borderId="229" xfId="0" applyNumberFormat="1" applyFont="1" applyFill="1" applyBorder="1" applyAlignment="1" applyProtection="1">
      <alignment horizontal="right"/>
      <protection hidden="1"/>
    </xf>
    <xf numFmtId="176" fontId="5" fillId="0" borderId="45" xfId="0" applyNumberFormat="1" applyFont="1" applyBorder="1" applyAlignment="1" applyProtection="1">
      <alignment horizontal="right"/>
      <protection hidden="1"/>
    </xf>
    <xf numFmtId="176" fontId="5" fillId="0" borderId="133" xfId="0" applyNumberFormat="1" applyFont="1" applyBorder="1" applyAlignment="1" applyProtection="1">
      <alignment horizontal="right"/>
      <protection hidden="1"/>
    </xf>
    <xf numFmtId="0" fontId="8" fillId="0" borderId="212" xfId="0" applyFont="1" applyBorder="1" applyAlignment="1" applyProtection="1">
      <alignment horizontal="center" wrapText="1"/>
      <protection hidden="1"/>
    </xf>
    <xf numFmtId="0" fontId="8" fillId="0" borderId="213" xfId="0" applyFont="1" applyBorder="1" applyAlignment="1" applyProtection="1">
      <alignment horizontal="center"/>
      <protection hidden="1"/>
    </xf>
    <xf numFmtId="0" fontId="8" fillId="0" borderId="19" xfId="0" applyFont="1" applyBorder="1" applyAlignment="1" applyProtection="1">
      <alignment horizontal="center" vertical="center"/>
      <protection hidden="1"/>
    </xf>
    <xf numFmtId="0" fontId="8" fillId="0" borderId="69" xfId="0" applyFont="1" applyBorder="1" applyAlignment="1" applyProtection="1">
      <alignment horizontal="center" vertical="center"/>
      <protection hidden="1"/>
    </xf>
    <xf numFmtId="0" fontId="8" fillId="0" borderId="19" xfId="0" applyFont="1" applyBorder="1" applyAlignment="1" applyProtection="1">
      <alignment horizontal="center" vertical="center" wrapText="1"/>
      <protection hidden="1"/>
    </xf>
    <xf numFmtId="0" fontId="8" fillId="3" borderId="19" xfId="0" applyFont="1" applyFill="1" applyBorder="1" applyAlignment="1" applyProtection="1">
      <alignment horizontal="center" vertical="center"/>
      <protection hidden="1"/>
    </xf>
    <xf numFmtId="0" fontId="8" fillId="3" borderId="69" xfId="0" applyFont="1" applyFill="1" applyBorder="1" applyAlignment="1" applyProtection="1">
      <alignment horizontal="center" vertical="center"/>
      <protection hidden="1"/>
    </xf>
    <xf numFmtId="0" fontId="8" fillId="3" borderId="22"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protection hidden="1"/>
    </xf>
    <xf numFmtId="0" fontId="8" fillId="3" borderId="214" xfId="0" applyFont="1" applyFill="1" applyBorder="1" applyAlignment="1" applyProtection="1">
      <alignment horizontal="center" vertical="center"/>
      <protection hidden="1"/>
    </xf>
    <xf numFmtId="0" fontId="8" fillId="3" borderId="215" xfId="0" applyFont="1" applyFill="1" applyBorder="1" applyAlignment="1" applyProtection="1">
      <alignment horizontal="center" vertical="center"/>
      <protection hidden="1"/>
    </xf>
    <xf numFmtId="176" fontId="5" fillId="12" borderId="230" xfId="0" applyNumberFormat="1" applyFont="1" applyFill="1" applyBorder="1" applyAlignment="1" applyProtection="1">
      <alignment horizontal="right"/>
      <protection hidden="1"/>
    </xf>
    <xf numFmtId="176" fontId="5" fillId="12" borderId="231" xfId="0" applyNumberFormat="1" applyFont="1" applyFill="1" applyBorder="1" applyAlignment="1" applyProtection="1">
      <alignment horizontal="right"/>
      <protection hidden="1"/>
    </xf>
    <xf numFmtId="176" fontId="5" fillId="0" borderId="232" xfId="0" applyNumberFormat="1" applyFont="1" applyBorder="1" applyAlignment="1" applyProtection="1">
      <alignment horizontal="right"/>
      <protection hidden="1"/>
    </xf>
    <xf numFmtId="176" fontId="5" fillId="0" borderId="233" xfId="0" applyNumberFormat="1" applyFont="1" applyBorder="1" applyAlignment="1" applyProtection="1">
      <alignment horizontal="right"/>
      <protection hidden="1"/>
    </xf>
    <xf numFmtId="0" fontId="7" fillId="0" borderId="11" xfId="0" applyFont="1" applyBorder="1" applyAlignment="1" applyProtection="1">
      <alignment horizontal="center" shrinkToFit="1"/>
      <protection hidden="1"/>
    </xf>
    <xf numFmtId="0" fontId="6" fillId="0" borderId="209" xfId="0" applyFont="1" applyBorder="1" applyAlignment="1" applyProtection="1">
      <alignment horizontal="center" wrapText="1"/>
      <protection hidden="1"/>
    </xf>
    <xf numFmtId="0" fontId="6" fillId="0" borderId="210" xfId="0" applyFont="1" applyBorder="1" applyAlignment="1" applyProtection="1">
      <alignment horizontal="center"/>
      <protection hidden="1"/>
    </xf>
    <xf numFmtId="0" fontId="6" fillId="0" borderId="47" xfId="0" applyFont="1" applyBorder="1" applyAlignment="1" applyProtection="1">
      <alignment horizontal="center"/>
      <protection hidden="1"/>
    </xf>
    <xf numFmtId="0" fontId="6" fillId="0" borderId="211" xfId="0" applyFont="1" applyBorder="1" applyAlignment="1" applyProtection="1">
      <alignment horizontal="center"/>
      <protection hidden="1"/>
    </xf>
    <xf numFmtId="0" fontId="6" fillId="3" borderId="17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210" xfId="0" applyFont="1" applyFill="1" applyBorder="1" applyAlignment="1" applyProtection="1">
      <alignment horizontal="center"/>
      <protection hidden="1"/>
    </xf>
    <xf numFmtId="177" fontId="10" fillId="3" borderId="216" xfId="0" applyNumberFormat="1" applyFont="1" applyFill="1" applyBorder="1" applyAlignment="1" applyProtection="1">
      <alignment horizontal="center" vertical="center"/>
      <protection hidden="1"/>
    </xf>
    <xf numFmtId="177" fontId="10" fillId="3" borderId="217" xfId="0" applyNumberFormat="1" applyFont="1" applyFill="1" applyBorder="1" applyAlignment="1" applyProtection="1">
      <alignment horizontal="center" vertical="center"/>
      <protection hidden="1"/>
    </xf>
    <xf numFmtId="177" fontId="10" fillId="3" borderId="218" xfId="0" applyNumberFormat="1" applyFont="1" applyFill="1" applyBorder="1" applyAlignment="1" applyProtection="1">
      <alignment horizontal="center" vertical="center"/>
      <protection hidden="1"/>
    </xf>
    <xf numFmtId="177" fontId="10" fillId="3" borderId="174" xfId="0" applyNumberFormat="1" applyFont="1" applyFill="1" applyBorder="1" applyAlignment="1" applyProtection="1">
      <alignment horizontal="center" vertical="center"/>
      <protection hidden="1"/>
    </xf>
    <xf numFmtId="177" fontId="10" fillId="3" borderId="61" xfId="0" applyNumberFormat="1" applyFont="1" applyFill="1" applyBorder="1" applyAlignment="1" applyProtection="1">
      <alignment horizontal="center" vertical="center"/>
      <protection hidden="1"/>
    </xf>
    <xf numFmtId="177" fontId="10" fillId="3" borderId="219" xfId="0" applyNumberFormat="1" applyFont="1" applyFill="1" applyBorder="1" applyAlignment="1" applyProtection="1">
      <alignment horizontal="center" vertical="center"/>
      <protection hidden="1"/>
    </xf>
    <xf numFmtId="0" fontId="0" fillId="0" borderId="223" xfId="0" applyBorder="1" applyAlignment="1" applyProtection="1">
      <alignment horizontal="center" vertical="center"/>
      <protection hidden="1"/>
    </xf>
    <xf numFmtId="0" fontId="0" fillId="0" borderId="224" xfId="0" applyBorder="1" applyAlignment="1" applyProtection="1">
      <alignment horizontal="center" vertical="center"/>
      <protection hidden="1"/>
    </xf>
    <xf numFmtId="176" fontId="5" fillId="3" borderId="23" xfId="0" applyNumberFormat="1" applyFont="1" applyFill="1" applyBorder="1" applyAlignment="1" applyProtection="1">
      <alignment horizontal="center" vertical="center"/>
      <protection hidden="1"/>
    </xf>
    <xf numFmtId="176" fontId="5" fillId="3" borderId="225" xfId="0" applyNumberFormat="1" applyFont="1" applyFill="1" applyBorder="1" applyAlignment="1" applyProtection="1">
      <alignment horizontal="center" vertical="center"/>
      <protection hidden="1"/>
    </xf>
    <xf numFmtId="176" fontId="11" fillId="12" borderId="226" xfId="0" applyNumberFormat="1" applyFont="1" applyFill="1" applyBorder="1" applyAlignment="1" applyProtection="1">
      <alignment horizontal="right" vertical="center"/>
      <protection hidden="1"/>
    </xf>
    <xf numFmtId="176" fontId="11" fillId="12" borderId="227" xfId="0" applyNumberFormat="1" applyFont="1" applyFill="1" applyBorder="1" applyAlignment="1" applyProtection="1">
      <alignment horizontal="right" vertical="center"/>
      <protection hidden="1"/>
    </xf>
    <xf numFmtId="0" fontId="7" fillId="0" borderId="140"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234" xfId="0" applyFont="1" applyBorder="1" applyAlignment="1" applyProtection="1">
      <alignment horizontal="center" vertical="center" shrinkToFit="1"/>
      <protection hidden="1"/>
    </xf>
    <xf numFmtId="0" fontId="7" fillId="0" borderId="235" xfId="0" applyFont="1" applyBorder="1" applyAlignment="1" applyProtection="1">
      <alignment horizontal="center" vertical="center" shrinkToFit="1"/>
      <protection hidden="1"/>
    </xf>
    <xf numFmtId="0" fontId="0" fillId="0" borderId="0" xfId="0" applyAlignment="1" applyProtection="1">
      <alignment horizontal="center"/>
      <protection hidden="1"/>
    </xf>
    <xf numFmtId="0" fontId="0" fillId="0" borderId="148" xfId="0" applyBorder="1" applyAlignment="1" applyProtection="1">
      <alignment horizontal="center"/>
      <protection hidden="1"/>
    </xf>
    <xf numFmtId="0" fontId="4" fillId="11" borderId="170" xfId="0" applyFont="1" applyFill="1" applyBorder="1" applyAlignment="1" applyProtection="1">
      <alignment horizontal="center" vertical="center"/>
      <protection hidden="1"/>
    </xf>
    <xf numFmtId="0" fontId="4" fillId="11" borderId="210" xfId="0" applyFont="1" applyFill="1" applyBorder="1" applyAlignment="1" applyProtection="1">
      <alignment horizontal="center" vertical="center"/>
      <protection hidden="1"/>
    </xf>
    <xf numFmtId="0" fontId="4" fillId="11" borderId="174" xfId="0" applyFont="1" applyFill="1" applyBorder="1" applyAlignment="1" applyProtection="1">
      <alignment horizontal="center" vertical="center"/>
      <protection hidden="1"/>
    </xf>
    <xf numFmtId="0" fontId="4" fillId="11" borderId="219" xfId="0" applyFont="1" applyFill="1" applyBorder="1" applyAlignment="1" applyProtection="1">
      <alignment horizontal="center" vertical="center"/>
      <protection hidden="1"/>
    </xf>
    <xf numFmtId="0" fontId="7" fillId="0" borderId="194" xfId="0" applyFont="1" applyBorder="1" applyAlignment="1" applyProtection="1">
      <alignment horizontal="left" shrinkToFit="1"/>
      <protection hidden="1"/>
    </xf>
    <xf numFmtId="0" fontId="7" fillId="0" borderId="120" xfId="0" applyFont="1" applyBorder="1" applyAlignment="1" applyProtection="1">
      <alignment horizontal="left" shrinkToFit="1"/>
      <protection hidden="1"/>
    </xf>
    <xf numFmtId="0" fontId="7" fillId="0" borderId="121" xfId="0" applyFont="1" applyBorder="1" applyAlignment="1" applyProtection="1">
      <alignment horizontal="left" shrinkToFit="1"/>
      <protection hidden="1"/>
    </xf>
    <xf numFmtId="0" fontId="0" fillId="0" borderId="223" xfId="0" applyBorder="1" applyAlignment="1" applyProtection="1">
      <alignment horizontal="center"/>
      <protection hidden="1"/>
    </xf>
    <xf numFmtId="0" fontId="0" fillId="0" borderId="224" xfId="0" applyBorder="1" applyAlignment="1" applyProtection="1">
      <alignment horizontal="center"/>
      <protection hidden="1"/>
    </xf>
    <xf numFmtId="0" fontId="7" fillId="0" borderId="236" xfId="0" applyFont="1" applyBorder="1" applyAlignment="1" applyProtection="1">
      <alignment horizontal="center" vertical="center" shrinkToFit="1"/>
      <protection hidden="1"/>
    </xf>
    <xf numFmtId="0" fontId="7" fillId="0" borderId="237" xfId="0" applyFont="1" applyBorder="1" applyAlignment="1" applyProtection="1">
      <alignment horizontal="center" vertical="center" shrinkToFit="1"/>
      <protection hidden="1"/>
    </xf>
    <xf numFmtId="176" fontId="5" fillId="3" borderId="23" xfId="0" applyNumberFormat="1" applyFont="1" applyFill="1" applyBorder="1" applyAlignment="1" applyProtection="1">
      <alignment horizontal="right" vertical="center"/>
      <protection hidden="1"/>
    </xf>
    <xf numFmtId="176" fontId="5" fillId="3" borderId="225" xfId="0" applyNumberFormat="1" applyFont="1" applyFill="1" applyBorder="1" applyAlignment="1" applyProtection="1">
      <alignment horizontal="right" vertical="center"/>
      <protection hidden="1"/>
    </xf>
    <xf numFmtId="184" fontId="7" fillId="0" borderId="137" xfId="0" applyNumberFormat="1" applyFont="1" applyBorder="1" applyAlignment="1" applyProtection="1">
      <alignment horizontal="left"/>
      <protection hidden="1"/>
    </xf>
    <xf numFmtId="184" fontId="7" fillId="0" borderId="122" xfId="0" applyNumberFormat="1" applyFont="1" applyBorder="1" applyAlignment="1" applyProtection="1">
      <alignment horizontal="left"/>
      <protection hidden="1"/>
    </xf>
    <xf numFmtId="184" fontId="7" fillId="0" borderId="8" xfId="0" applyNumberFormat="1" applyFont="1" applyBorder="1" applyAlignment="1" applyProtection="1">
      <alignment horizontal="left"/>
      <protection hidden="1"/>
    </xf>
    <xf numFmtId="0" fontId="0" fillId="0" borderId="0" xfId="0" applyAlignment="1" applyProtection="1">
      <alignment horizontal="center" shrinkToFit="1"/>
      <protection hidden="1"/>
    </xf>
    <xf numFmtId="0" fontId="8" fillId="0" borderId="0" xfId="0" applyFont="1" applyAlignment="1" applyProtection="1">
      <alignment horizontal="center" shrinkToFit="1"/>
      <protection hidden="1"/>
    </xf>
    <xf numFmtId="0" fontId="3" fillId="0" borderId="61" xfId="0" applyFont="1" applyBorder="1" applyAlignment="1">
      <alignment horizontal="center"/>
    </xf>
    <xf numFmtId="0" fontId="12" fillId="0" borderId="61" xfId="0" applyFont="1" applyBorder="1" applyAlignment="1">
      <alignment horizontal="center"/>
    </xf>
  </cellXfs>
  <cellStyles count="2">
    <cellStyle name="桁区切り" xfId="1" builtinId="6"/>
    <cellStyle name="標準" xfId="0" builtinId="0"/>
  </cellStyles>
  <dxfs count="23">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3"/>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0</xdr:colOff>
      <xdr:row>68</xdr:row>
      <xdr:rowOff>76200</xdr:rowOff>
    </xdr:from>
    <xdr:to>
      <xdr:col>21</xdr:col>
      <xdr:colOff>57150</xdr:colOff>
      <xdr:row>70</xdr:row>
      <xdr:rowOff>28575</xdr:rowOff>
    </xdr:to>
    <xdr:sp macro="" textlink="">
      <xdr:nvSpPr>
        <xdr:cNvPr id="3927" name="AutoShape 53">
          <a:extLst>
            <a:ext uri="{FF2B5EF4-FFF2-40B4-BE49-F238E27FC236}">
              <a16:creationId xmlns:a16="http://schemas.microsoft.com/office/drawing/2014/main" id="{00000000-0008-0000-0000-0000570F0000}"/>
            </a:ext>
          </a:extLst>
        </xdr:cNvPr>
        <xdr:cNvSpPr>
          <a:spLocks noChangeArrowheads="1"/>
        </xdr:cNvSpPr>
      </xdr:nvSpPr>
      <xdr:spPr bwMode="auto">
        <a:xfrm>
          <a:off x="2943225" y="14116050"/>
          <a:ext cx="762000" cy="371475"/>
        </a:xfrm>
        <a:prstGeom prst="down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104774</xdr:colOff>
      <xdr:row>46</xdr:row>
      <xdr:rowOff>209549</xdr:rowOff>
    </xdr:from>
    <xdr:to>
      <xdr:col>40</xdr:col>
      <xdr:colOff>0</xdr:colOff>
      <xdr:row>48</xdr:row>
      <xdr:rowOff>180975</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5457824" y="9886949"/>
          <a:ext cx="1428751" cy="4381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800" b="1" i="0" u="none" strike="noStrike" baseline="0">
              <a:solidFill>
                <a:srgbClr val="0000FF"/>
              </a:solidFill>
              <a:latin typeface="ＭＳ Ｐゴシック"/>
              <a:ea typeface="ＭＳ Ｐゴシック"/>
            </a:rPr>
            <a:t>※入力シートの画面は、プリンタ設定で印刷除外に設定しています。</a:t>
          </a:r>
          <a:endParaRPr lang="ja-JP" altLang="en-US"/>
        </a:p>
      </xdr:txBody>
    </xdr:sp>
    <xdr:clientData/>
  </xdr:twoCellAnchor>
  <xdr:twoCellAnchor>
    <xdr:from>
      <xdr:col>1</xdr:col>
      <xdr:colOff>9526</xdr:colOff>
      <xdr:row>108</xdr:row>
      <xdr:rowOff>9525</xdr:rowOff>
    </xdr:from>
    <xdr:to>
      <xdr:col>38</xdr:col>
      <xdr:colOff>1</xdr:colOff>
      <xdr:row>110</xdr:row>
      <xdr:rowOff>114300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180976" y="21783675"/>
          <a:ext cx="6362700" cy="523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400"/>
            </a:lnSpc>
            <a:defRPr sz="1000"/>
          </a:pPr>
          <a:r>
            <a:rPr lang="ja-JP" altLang="en-US" sz="1300" b="1" i="0" u="none" strike="noStrike" baseline="0">
              <a:solidFill>
                <a:srgbClr val="000000"/>
              </a:solidFill>
              <a:latin typeface="ＭＳ Ｐゴシック"/>
              <a:ea typeface="ＭＳ Ｐゴシック"/>
            </a:rPr>
            <a:t>※　プリンタから印刷されるのは、試算結果ページのみの設定にしています。</a:t>
          </a:r>
        </a:p>
        <a:p>
          <a:pPr algn="l" rtl="0">
            <a:lnSpc>
              <a:spcPts val="1300"/>
            </a:lnSpc>
            <a:defRPr sz="1000"/>
          </a:pPr>
          <a:r>
            <a:rPr lang="ja-JP" altLang="en-US" sz="1300" b="1" i="0" u="none" strike="noStrike" baseline="0">
              <a:solidFill>
                <a:srgbClr val="000000"/>
              </a:solidFill>
              <a:latin typeface="ＭＳ Ｐゴシック"/>
              <a:ea typeface="ＭＳ Ｐゴシック"/>
            </a:rPr>
            <a:t>　入力シートの画面は印刷されません。</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117"/>
  <sheetViews>
    <sheetView showGridLines="0" tabSelected="1" zoomScaleNormal="100" zoomScaleSheetLayoutView="100" workbookViewId="0">
      <selection activeCell="F22" sqref="F22:G22"/>
    </sheetView>
  </sheetViews>
  <sheetFormatPr defaultColWidth="2.25" defaultRowHeight="16.5" customHeight="1" x14ac:dyDescent="0.15"/>
  <cols>
    <col min="1" max="1" width="2.25" style="110" customWidth="1"/>
    <col min="2" max="5" width="2.375" style="110" customWidth="1"/>
    <col min="6" max="12" width="2.25" style="110" customWidth="1"/>
    <col min="13" max="13" width="2.125" style="110" customWidth="1"/>
    <col min="14" max="17" width="2.25" style="110" customWidth="1"/>
    <col min="18" max="18" width="2.5" style="110" customWidth="1"/>
    <col min="19" max="23" width="2.25" style="110" customWidth="1"/>
    <col min="24" max="24" width="1.875" style="110" customWidth="1"/>
    <col min="25" max="30" width="2.25" style="110" customWidth="1"/>
    <col min="31" max="31" width="2.5" style="110" customWidth="1"/>
    <col min="32" max="33" width="2.25" style="110" customWidth="1"/>
    <col min="34" max="34" width="2.125" style="110" customWidth="1"/>
    <col min="35" max="40" width="2.25" style="110" customWidth="1"/>
    <col min="41" max="41" width="13.125" style="110" customWidth="1"/>
    <col min="42" max="44" width="2.25" style="147" hidden="1" customWidth="1"/>
    <col min="45" max="45" width="2.25" style="141" hidden="1" customWidth="1"/>
    <col min="46" max="46" width="3.875" style="136" customWidth="1"/>
    <col min="47" max="52" width="2.25" style="110"/>
    <col min="53" max="53" width="2.25" style="110" customWidth="1"/>
    <col min="54" max="54" width="5.25" style="110" customWidth="1"/>
    <col min="55" max="55" width="0.875" style="110" customWidth="1"/>
    <col min="56" max="56" width="8.625" style="110" customWidth="1"/>
    <col min="57" max="57" width="4.625" style="110" customWidth="1"/>
    <col min="58" max="16384" width="2.25" style="110"/>
  </cols>
  <sheetData>
    <row r="1" spans="1:58" customFormat="1" ht="13.5" customHeight="1" x14ac:dyDescent="0.15">
      <c r="B1" s="405" t="str">
        <f>TEXT(税率登録シート!K2,"ggge年度")&amp;" 伊予市国民健康保険税試算入力シート"</f>
        <v>令和7年度 伊予市国民健康保険税試算入力シート</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P1" s="120"/>
      <c r="AQ1" s="120"/>
      <c r="AR1" s="120"/>
      <c r="AS1" s="173"/>
      <c r="AT1" s="237"/>
      <c r="AU1" s="238"/>
      <c r="AV1" s="238"/>
      <c r="AW1" s="238"/>
      <c r="AX1" s="238"/>
      <c r="AY1" s="238"/>
      <c r="AZ1" s="238"/>
      <c r="BA1" s="238"/>
      <c r="BB1" s="238"/>
      <c r="BC1" s="238"/>
      <c r="BD1" s="238"/>
      <c r="BE1" s="238"/>
      <c r="BF1" s="239"/>
    </row>
    <row r="2" spans="1:58" customFormat="1" ht="13.5" customHeight="1" x14ac:dyDescent="0.1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P2" s="120"/>
      <c r="AQ2" s="120"/>
      <c r="AR2" s="120"/>
      <c r="AS2" s="173"/>
      <c r="AT2" s="401" t="s">
        <v>181</v>
      </c>
      <c r="AU2" s="402"/>
      <c r="AV2" s="402"/>
      <c r="AW2" s="402"/>
      <c r="AX2" s="402"/>
      <c r="AY2" s="402"/>
      <c r="AZ2" s="402"/>
      <c r="BA2" s="402"/>
      <c r="BB2" s="402"/>
      <c r="BC2" s="402"/>
      <c r="BD2" s="402"/>
      <c r="BE2" s="402"/>
      <c r="BF2" s="403"/>
    </row>
    <row r="3" spans="1:58" customFormat="1" ht="13.5" x14ac:dyDescent="0.15">
      <c r="AP3" s="120"/>
      <c r="AQ3" s="120"/>
      <c r="AR3" s="120"/>
      <c r="AS3" s="173"/>
      <c r="AT3" s="241"/>
      <c r="AU3" s="242"/>
      <c r="AV3" s="242"/>
      <c r="AW3" s="242"/>
      <c r="AX3" s="242"/>
      <c r="AY3" s="242"/>
      <c r="AZ3" s="242"/>
      <c r="BA3" s="242"/>
      <c r="BB3" s="242"/>
      <c r="BC3" s="242"/>
      <c r="BD3" s="242"/>
      <c r="BE3" s="242"/>
      <c r="BF3" s="240"/>
    </row>
    <row r="4" spans="1:58" s="109" customFormat="1" ht="16.5" customHeight="1" x14ac:dyDescent="0.15">
      <c r="A4" s="109" t="str">
        <f>"　●　伊予市の国民健康保険に加入した場合の"&amp;TEXT(税率登録シート!K2,"ggge")&amp;"年度("&amp;TEXT(税率登録シート!K2,"ggge")&amp;"年4月～"&amp;TEXT(税率登録シート!O2,"ggge")&amp;"年3月）の税額の計算ができます。"</f>
        <v>　●　伊予市の国民健康保険に加入した場合の令和7年度(令和7年4月～令和8年3月）の税額の計算ができます。</v>
      </c>
      <c r="AP4" s="151"/>
      <c r="AQ4" s="151"/>
      <c r="AR4" s="151"/>
      <c r="AS4" s="152"/>
      <c r="AT4" s="398" t="s">
        <v>155</v>
      </c>
      <c r="AU4" s="399"/>
      <c r="AV4" s="399"/>
      <c r="AW4" s="399"/>
      <c r="AX4" s="399"/>
      <c r="AY4" s="397" t="s">
        <v>208</v>
      </c>
      <c r="AZ4" s="397"/>
      <c r="BA4" s="397"/>
      <c r="BB4" s="397"/>
      <c r="BC4" s="243"/>
      <c r="BD4" s="249">
        <f>LOOKUP(AY4,税率登録シート!P17:P28,税率登録シート!Q17:Q28)</f>
        <v>2025</v>
      </c>
      <c r="BE4" s="248" t="s">
        <v>156</v>
      </c>
      <c r="BF4" s="244"/>
    </row>
    <row r="5" spans="1:58" s="109" customFormat="1" ht="16.5" customHeight="1" x14ac:dyDescent="0.15">
      <c r="A5" s="108" t="s">
        <v>104</v>
      </c>
      <c r="AP5" s="151"/>
      <c r="AQ5" s="151"/>
      <c r="AR5" s="151"/>
      <c r="AS5" s="152"/>
      <c r="AT5" s="245"/>
      <c r="AU5" s="246"/>
      <c r="AV5" s="246"/>
      <c r="AW5" s="246"/>
      <c r="AX5" s="246"/>
      <c r="AY5" s="246"/>
      <c r="AZ5" s="246"/>
      <c r="BA5" s="246"/>
      <c r="BB5" s="246"/>
      <c r="BC5" s="246"/>
      <c r="BD5" s="246"/>
      <c r="BE5" s="246"/>
      <c r="BF5" s="247"/>
    </row>
    <row r="6" spans="1:58" s="109" customFormat="1" ht="16.5" customHeight="1" x14ac:dyDescent="0.15">
      <c r="A6" s="108"/>
      <c r="AP6" s="151"/>
      <c r="AQ6" s="151"/>
      <c r="AR6" s="151"/>
      <c r="AS6" s="152"/>
      <c r="AT6" s="149" t="s">
        <v>157</v>
      </c>
    </row>
    <row r="7" spans="1:58" s="109" customFormat="1" ht="16.5" customHeight="1" x14ac:dyDescent="0.15">
      <c r="A7" s="108"/>
      <c r="C7" s="365"/>
      <c r="D7" s="365"/>
      <c r="E7" s="365"/>
      <c r="F7" s="108" t="s">
        <v>92</v>
      </c>
      <c r="G7" s="108"/>
      <c r="H7" s="108"/>
      <c r="I7" s="108"/>
      <c r="J7" s="108"/>
      <c r="K7" s="108"/>
      <c r="L7" s="108"/>
      <c r="M7" s="108"/>
      <c r="N7" s="108"/>
      <c r="AP7" s="151"/>
      <c r="AQ7" s="151"/>
      <c r="AR7" s="236"/>
      <c r="AS7" s="152"/>
      <c r="AT7" s="149"/>
    </row>
    <row r="8" spans="1:58" s="109" customFormat="1" ht="16.5" customHeight="1" x14ac:dyDescent="0.15">
      <c r="A8" s="108"/>
      <c r="C8" s="132" t="s">
        <v>180</v>
      </c>
      <c r="D8" s="108"/>
      <c r="E8" s="108"/>
      <c r="F8" s="108"/>
      <c r="G8" s="108"/>
      <c r="H8" s="108"/>
      <c r="I8" s="108"/>
      <c r="J8" s="108"/>
      <c r="K8" s="108"/>
      <c r="L8" s="108"/>
      <c r="AP8" s="151"/>
      <c r="AQ8" s="151"/>
      <c r="AR8" s="151"/>
      <c r="AS8" s="152"/>
      <c r="AT8" s="149"/>
      <c r="AU8" s="591"/>
      <c r="AV8" s="591"/>
      <c r="AW8" s="591"/>
      <c r="AX8" s="591"/>
      <c r="AY8" s="591"/>
      <c r="AZ8" s="591"/>
      <c r="BA8" s="591"/>
      <c r="BB8" s="591"/>
      <c r="BC8" s="591"/>
      <c r="BD8" s="591"/>
      <c r="BE8" s="591"/>
    </row>
    <row r="9" spans="1:58" s="109" customFormat="1" ht="16.5" customHeight="1" x14ac:dyDescent="0.15">
      <c r="A9" s="108"/>
      <c r="C9" s="118" t="s">
        <v>139</v>
      </c>
      <c r="D9" s="108"/>
      <c r="E9" s="108"/>
      <c r="F9" s="108"/>
      <c r="G9" s="108"/>
      <c r="H9" s="108"/>
      <c r="I9" s="108"/>
      <c r="J9" s="108"/>
      <c r="K9" s="108"/>
      <c r="L9" s="108"/>
      <c r="AP9" s="151"/>
      <c r="AQ9" s="151"/>
      <c r="AR9" s="151"/>
      <c r="AS9" s="152"/>
      <c r="AT9" s="149"/>
      <c r="AU9" s="591"/>
      <c r="AV9" s="591"/>
      <c r="AW9" s="591"/>
      <c r="AX9" s="591"/>
      <c r="AY9" s="591"/>
      <c r="AZ9" s="591"/>
      <c r="BA9" s="591"/>
      <c r="BB9" s="591"/>
      <c r="BC9" s="591"/>
      <c r="BD9" s="591"/>
      <c r="BE9" s="591"/>
    </row>
    <row r="10" spans="1:58" s="109" customFormat="1" ht="16.5" customHeight="1" x14ac:dyDescent="0.15">
      <c r="A10" s="108"/>
      <c r="C10" s="108" t="s">
        <v>105</v>
      </c>
      <c r="D10" s="108"/>
      <c r="E10" s="108"/>
      <c r="F10" s="108"/>
      <c r="G10" s="108"/>
      <c r="H10" s="108"/>
      <c r="I10" s="108"/>
      <c r="J10" s="108"/>
      <c r="K10" s="108"/>
      <c r="L10" s="108"/>
      <c r="AP10" s="151"/>
      <c r="AQ10" s="151"/>
      <c r="AR10" s="151"/>
      <c r="AS10" s="152"/>
      <c r="AT10" s="149"/>
    </row>
    <row r="11" spans="1:58" s="109" customFormat="1" ht="16.5" customHeight="1" x14ac:dyDescent="0.15">
      <c r="A11" s="108"/>
      <c r="C11" s="108" t="s">
        <v>106</v>
      </c>
      <c r="D11" s="108"/>
      <c r="E11" s="108"/>
      <c r="F11" s="108"/>
      <c r="G11" s="108"/>
      <c r="H11" s="108"/>
      <c r="I11" s="108"/>
      <c r="J11" s="108"/>
      <c r="K11" s="108"/>
      <c r="L11" s="108"/>
      <c r="AP11" s="151"/>
      <c r="AQ11" s="151"/>
      <c r="AR11" s="151"/>
      <c r="AS11" s="152"/>
      <c r="AT11" s="149"/>
    </row>
    <row r="12" spans="1:58" s="109" customFormat="1" ht="16.5" customHeight="1" x14ac:dyDescent="0.15">
      <c r="A12" s="108"/>
      <c r="C12" s="108" t="s">
        <v>103</v>
      </c>
      <c r="D12" s="108"/>
      <c r="E12" s="108"/>
      <c r="F12" s="108"/>
      <c r="G12" s="108"/>
      <c r="H12" s="108"/>
      <c r="I12" s="108"/>
      <c r="J12" s="108"/>
      <c r="K12" s="108"/>
      <c r="L12" s="108"/>
      <c r="AP12" s="151"/>
      <c r="AQ12" s="151"/>
      <c r="AR12" s="151"/>
      <c r="AS12" s="152"/>
      <c r="AT12" s="149"/>
    </row>
    <row r="13" spans="1:58" s="109" customFormat="1" ht="16.5" customHeight="1" x14ac:dyDescent="0.15">
      <c r="A13" s="108"/>
      <c r="C13" s="111" t="s">
        <v>45</v>
      </c>
      <c r="D13" s="111"/>
      <c r="E13" s="111"/>
      <c r="F13" s="111"/>
      <c r="G13" s="111"/>
      <c r="H13" s="111"/>
      <c r="I13" s="111"/>
      <c r="J13" s="111"/>
      <c r="K13" s="111"/>
      <c r="L13" s="111"/>
      <c r="AP13" s="151"/>
      <c r="AQ13" s="151"/>
      <c r="AR13" s="151"/>
      <c r="AS13" s="152"/>
      <c r="AT13" s="149"/>
    </row>
    <row r="14" spans="1:58" ht="16.5" customHeight="1" x14ac:dyDescent="0.15">
      <c r="C14" s="108" t="str">
        <f>"国民健康保険税の最高限度額は"&amp;TEXT(税率登録シート!K6/10000,"#万円")&amp;"(医療分"&amp;TEXT(税率登録シート!D6/10000,"#万円")&amp;"+支援分"&amp;TEXT(税率登録シート!D7/10000,"#万円")&amp;"+介護分"&amp;TEXT(税率登録シート!D8/10000,"#万円")&amp;")です。"</f>
        <v>国民健康保険税の最高限度額は109万円(医療分66万円+支援分26万円+介護分17万円)です。</v>
      </c>
      <c r="D14" s="108"/>
      <c r="E14" s="108"/>
      <c r="F14" s="108"/>
      <c r="G14" s="108"/>
      <c r="H14" s="108"/>
      <c r="I14" s="108"/>
      <c r="J14" s="108"/>
      <c r="K14" s="108"/>
      <c r="L14" s="108"/>
      <c r="AV14" s="109"/>
    </row>
    <row r="15" spans="1:58" ht="16.5" customHeight="1" x14ac:dyDescent="0.15">
      <c r="C15" s="108"/>
      <c r="D15" s="108"/>
      <c r="E15" s="108"/>
      <c r="F15" s="108"/>
      <c r="G15" s="108"/>
      <c r="H15" s="108"/>
      <c r="I15" s="108"/>
      <c r="J15" s="108"/>
      <c r="K15" s="108"/>
      <c r="L15" s="108"/>
    </row>
    <row r="16" spans="1:58" s="108" customFormat="1" ht="12" x14ac:dyDescent="0.15">
      <c r="A16" s="116" t="s">
        <v>108</v>
      </c>
      <c r="AP16" s="126"/>
      <c r="AQ16" s="126"/>
      <c r="AR16" s="126"/>
      <c r="AS16" s="174"/>
      <c r="AT16" s="154"/>
    </row>
    <row r="17" spans="1:57" ht="16.5" customHeight="1" x14ac:dyDescent="0.15">
      <c r="B17" s="368" t="s">
        <v>101</v>
      </c>
      <c r="C17" s="369"/>
      <c r="D17" s="369"/>
      <c r="E17" s="370"/>
      <c r="F17" s="339" t="s">
        <v>64</v>
      </c>
      <c r="G17" s="340"/>
      <c r="H17" s="341"/>
      <c r="I17" s="377" t="s">
        <v>54</v>
      </c>
      <c r="J17" s="378"/>
      <c r="K17" s="378"/>
      <c r="L17" s="378"/>
      <c r="M17" s="379"/>
      <c r="N17" s="447" t="s">
        <v>138</v>
      </c>
      <c r="O17" s="448"/>
      <c r="P17" s="448"/>
      <c r="Q17" s="448"/>
      <c r="R17" s="448"/>
      <c r="S17" s="448"/>
      <c r="T17" s="449"/>
      <c r="U17" s="339" t="s">
        <v>58</v>
      </c>
      <c r="V17" s="340"/>
      <c r="W17" s="340"/>
      <c r="X17" s="340"/>
      <c r="Y17" s="341"/>
      <c r="Z17" s="348" t="s">
        <v>59</v>
      </c>
      <c r="AA17" s="349"/>
      <c r="AB17" s="349"/>
      <c r="AC17" s="349"/>
      <c r="AD17" s="350"/>
      <c r="AE17" s="348" t="s">
        <v>57</v>
      </c>
      <c r="AF17" s="349"/>
      <c r="AG17" s="349"/>
      <c r="AH17" s="349"/>
      <c r="AI17" s="350"/>
      <c r="AJ17" s="348" t="s">
        <v>56</v>
      </c>
      <c r="AK17" s="349"/>
      <c r="AL17" s="349"/>
      <c r="AM17" s="349"/>
      <c r="AN17" s="350"/>
      <c r="AO17" s="345" t="s">
        <v>179</v>
      </c>
      <c r="AP17" s="254"/>
      <c r="AQ17" s="254"/>
      <c r="AR17" s="254"/>
      <c r="AS17" s="254"/>
      <c r="AT17" s="332"/>
      <c r="AU17" s="251"/>
      <c r="AV17" s="251"/>
      <c r="AW17" s="251"/>
      <c r="AX17" s="251"/>
      <c r="AY17" s="251"/>
      <c r="AZ17" s="251"/>
      <c r="BA17" s="251"/>
      <c r="BB17" s="251"/>
      <c r="BC17" s="251"/>
      <c r="BD17" s="251"/>
      <c r="BE17" s="251"/>
    </row>
    <row r="18" spans="1:57" ht="16.5" customHeight="1" x14ac:dyDescent="0.15">
      <c r="B18" s="371"/>
      <c r="C18" s="372"/>
      <c r="D18" s="372"/>
      <c r="E18" s="373"/>
      <c r="F18" s="357"/>
      <c r="G18" s="358"/>
      <c r="H18" s="359"/>
      <c r="I18" s="380"/>
      <c r="J18" s="381"/>
      <c r="K18" s="381"/>
      <c r="L18" s="381"/>
      <c r="M18" s="382"/>
      <c r="N18" s="450"/>
      <c r="O18" s="451"/>
      <c r="P18" s="451"/>
      <c r="Q18" s="451"/>
      <c r="R18" s="451"/>
      <c r="S18" s="451"/>
      <c r="T18" s="452"/>
      <c r="U18" s="357"/>
      <c r="V18" s="358"/>
      <c r="W18" s="358"/>
      <c r="X18" s="358"/>
      <c r="Y18" s="359"/>
      <c r="Z18" s="351"/>
      <c r="AA18" s="352"/>
      <c r="AB18" s="352"/>
      <c r="AC18" s="352"/>
      <c r="AD18" s="353"/>
      <c r="AE18" s="351"/>
      <c r="AF18" s="352"/>
      <c r="AG18" s="352"/>
      <c r="AH18" s="352"/>
      <c r="AI18" s="353"/>
      <c r="AJ18" s="351"/>
      <c r="AK18" s="352"/>
      <c r="AL18" s="352"/>
      <c r="AM18" s="352"/>
      <c r="AN18" s="353"/>
      <c r="AO18" s="345"/>
      <c r="AP18" s="254"/>
      <c r="AQ18" s="254"/>
      <c r="AR18" s="254"/>
      <c r="AS18" s="254"/>
      <c r="AT18" s="332"/>
      <c r="AU18" s="251"/>
      <c r="AV18" s="251"/>
      <c r="AW18" s="251"/>
      <c r="AX18" s="251"/>
      <c r="AY18" s="251"/>
      <c r="AZ18" s="251"/>
      <c r="BA18" s="251"/>
      <c r="BB18" s="251"/>
      <c r="BC18" s="251"/>
      <c r="BD18" s="251"/>
      <c r="BE18" s="251"/>
    </row>
    <row r="19" spans="1:57" ht="16.5" customHeight="1" x14ac:dyDescent="0.15">
      <c r="B19" s="371"/>
      <c r="C19" s="372"/>
      <c r="D19" s="372"/>
      <c r="E19" s="373"/>
      <c r="F19" s="357"/>
      <c r="G19" s="358"/>
      <c r="H19" s="359"/>
      <c r="I19" s="380"/>
      <c r="J19" s="381"/>
      <c r="K19" s="381"/>
      <c r="L19" s="381"/>
      <c r="M19" s="382"/>
      <c r="N19" s="386" t="str">
        <f>"（※１）収入額の右の欄は、"&amp;TEXT(税率登録シート!K3,"ggge")&amp;"年１月２日以降生まれの人は｢以降｣、"&amp;TEXT(税率登録シート!K3,"ggge")&amp;"年１月１日以前生まれの人は｢以前｣を選択してください。"</f>
        <v>（※１）収入額の右の欄は、昭和35年１月２日以降生まれの人は｢以降｣、昭和35年１月１日以前生まれの人は｢以前｣を選択してください。</v>
      </c>
      <c r="O19" s="387"/>
      <c r="P19" s="387"/>
      <c r="Q19" s="387"/>
      <c r="R19" s="387"/>
      <c r="S19" s="387"/>
      <c r="T19" s="388"/>
      <c r="U19" s="357"/>
      <c r="V19" s="358"/>
      <c r="W19" s="358"/>
      <c r="X19" s="358"/>
      <c r="Y19" s="359"/>
      <c r="Z19" s="351"/>
      <c r="AA19" s="352"/>
      <c r="AB19" s="352"/>
      <c r="AC19" s="352"/>
      <c r="AD19" s="353"/>
      <c r="AE19" s="351"/>
      <c r="AF19" s="352"/>
      <c r="AG19" s="352"/>
      <c r="AH19" s="352"/>
      <c r="AI19" s="353"/>
      <c r="AJ19" s="351"/>
      <c r="AK19" s="352"/>
      <c r="AL19" s="352"/>
      <c r="AM19" s="352"/>
      <c r="AN19" s="353"/>
      <c r="AO19" s="345"/>
      <c r="AP19" s="254"/>
      <c r="AQ19" s="254"/>
      <c r="AR19" s="254"/>
      <c r="AS19" s="254"/>
      <c r="AT19" s="332"/>
      <c r="AU19" s="251"/>
      <c r="AV19" s="251"/>
      <c r="AW19" s="251"/>
      <c r="AX19" s="251"/>
      <c r="AY19" s="251"/>
      <c r="AZ19" s="251"/>
      <c r="BA19" s="251"/>
      <c r="BB19" s="251"/>
      <c r="BC19" s="251"/>
      <c r="BD19" s="251"/>
      <c r="BE19" s="251"/>
    </row>
    <row r="20" spans="1:57" ht="16.5" customHeight="1" x14ac:dyDescent="0.15">
      <c r="B20" s="371"/>
      <c r="C20" s="372"/>
      <c r="D20" s="372"/>
      <c r="E20" s="373"/>
      <c r="F20" s="357"/>
      <c r="G20" s="358"/>
      <c r="H20" s="359"/>
      <c r="I20" s="380"/>
      <c r="J20" s="381"/>
      <c r="K20" s="381"/>
      <c r="L20" s="381"/>
      <c r="M20" s="382"/>
      <c r="N20" s="386"/>
      <c r="O20" s="387"/>
      <c r="P20" s="387"/>
      <c r="Q20" s="387"/>
      <c r="R20" s="387"/>
      <c r="S20" s="387"/>
      <c r="T20" s="388"/>
      <c r="U20" s="357"/>
      <c r="V20" s="358"/>
      <c r="W20" s="358"/>
      <c r="X20" s="358"/>
      <c r="Y20" s="359"/>
      <c r="Z20" s="351"/>
      <c r="AA20" s="352"/>
      <c r="AB20" s="352"/>
      <c r="AC20" s="352"/>
      <c r="AD20" s="353"/>
      <c r="AE20" s="351"/>
      <c r="AF20" s="352"/>
      <c r="AG20" s="352"/>
      <c r="AH20" s="352"/>
      <c r="AI20" s="353"/>
      <c r="AJ20" s="351"/>
      <c r="AK20" s="352"/>
      <c r="AL20" s="352"/>
      <c r="AM20" s="352"/>
      <c r="AN20" s="353"/>
      <c r="AO20" s="345"/>
      <c r="AP20" s="254"/>
      <c r="AQ20" s="254"/>
      <c r="AR20" s="254"/>
      <c r="AS20" s="254"/>
      <c r="AT20" s="332"/>
      <c r="AU20" s="251"/>
      <c r="AV20" s="251"/>
      <c r="AW20" s="251"/>
      <c r="AX20" s="251"/>
      <c r="AY20" s="251"/>
      <c r="AZ20" s="251"/>
      <c r="BA20" s="251"/>
      <c r="BB20" s="251"/>
      <c r="BC20" s="251"/>
      <c r="BD20" s="251"/>
      <c r="BE20" s="251"/>
    </row>
    <row r="21" spans="1:57" ht="16.5" customHeight="1" x14ac:dyDescent="0.15">
      <c r="B21" s="374"/>
      <c r="C21" s="375"/>
      <c r="D21" s="375"/>
      <c r="E21" s="376"/>
      <c r="F21" s="342"/>
      <c r="G21" s="343"/>
      <c r="H21" s="344"/>
      <c r="I21" s="383"/>
      <c r="J21" s="384"/>
      <c r="K21" s="384"/>
      <c r="L21" s="384"/>
      <c r="M21" s="385"/>
      <c r="N21" s="389"/>
      <c r="O21" s="390"/>
      <c r="P21" s="390"/>
      <c r="Q21" s="390"/>
      <c r="R21" s="390"/>
      <c r="S21" s="390"/>
      <c r="T21" s="391"/>
      <c r="U21" s="342"/>
      <c r="V21" s="343"/>
      <c r="W21" s="343"/>
      <c r="X21" s="343"/>
      <c r="Y21" s="344"/>
      <c r="Z21" s="354"/>
      <c r="AA21" s="355"/>
      <c r="AB21" s="355"/>
      <c r="AC21" s="355"/>
      <c r="AD21" s="356"/>
      <c r="AE21" s="354"/>
      <c r="AF21" s="355"/>
      <c r="AG21" s="355"/>
      <c r="AH21" s="355"/>
      <c r="AI21" s="356"/>
      <c r="AJ21" s="354"/>
      <c r="AK21" s="355"/>
      <c r="AL21" s="355"/>
      <c r="AM21" s="355"/>
      <c r="AN21" s="356"/>
      <c r="AO21" s="345"/>
      <c r="AP21" s="254"/>
      <c r="AQ21" s="254"/>
      <c r="AR21" s="254"/>
      <c r="AS21" s="254"/>
      <c r="AT21" s="332"/>
      <c r="AU21" s="251"/>
      <c r="AV21" s="251"/>
      <c r="AW21" s="251"/>
      <c r="AX21" s="251"/>
      <c r="AY21" s="251"/>
      <c r="AZ21" s="251"/>
      <c r="BA21" s="251"/>
      <c r="BB21" s="251"/>
      <c r="BC21" s="251"/>
      <c r="BD21" s="251"/>
      <c r="BE21" s="251"/>
    </row>
    <row r="22" spans="1:57" ht="20.25" customHeight="1" x14ac:dyDescent="0.15">
      <c r="B22" s="367" t="s">
        <v>5</v>
      </c>
      <c r="C22" s="367"/>
      <c r="D22" s="367"/>
      <c r="E22" s="367"/>
      <c r="F22" s="361"/>
      <c r="G22" s="366"/>
      <c r="H22" s="114" t="s">
        <v>15</v>
      </c>
      <c r="I22" s="346"/>
      <c r="J22" s="346"/>
      <c r="K22" s="346"/>
      <c r="L22" s="347"/>
      <c r="M22" s="112" t="s">
        <v>16</v>
      </c>
      <c r="N22" s="347"/>
      <c r="O22" s="362"/>
      <c r="P22" s="362"/>
      <c r="Q22" s="362"/>
      <c r="R22" s="113" t="s">
        <v>16</v>
      </c>
      <c r="S22" s="360" t="s">
        <v>170</v>
      </c>
      <c r="T22" s="361"/>
      <c r="U22" s="346"/>
      <c r="V22" s="346"/>
      <c r="W22" s="346"/>
      <c r="X22" s="347"/>
      <c r="Y22" s="112" t="s">
        <v>16</v>
      </c>
      <c r="Z22" s="333" t="str">
        <f>IF(税額計算!C11&gt;0,税額計算!C11,"0")</f>
        <v>0</v>
      </c>
      <c r="AA22" s="333"/>
      <c r="AB22" s="333"/>
      <c r="AC22" s="334"/>
      <c r="AD22" s="134" t="s">
        <v>16</v>
      </c>
      <c r="AE22" s="334" t="str">
        <f>IF(F22="","",税率登録シート!$D$28)</f>
        <v/>
      </c>
      <c r="AF22" s="335"/>
      <c r="AG22" s="335"/>
      <c r="AH22" s="335"/>
      <c r="AI22" s="134" t="s">
        <v>16</v>
      </c>
      <c r="AJ22" s="333" t="str">
        <f>IF(税額計算!E11&gt;0,税額計算!E11,"0")</f>
        <v>0</v>
      </c>
      <c r="AK22" s="333"/>
      <c r="AL22" s="333"/>
      <c r="AM22" s="334"/>
      <c r="AN22" s="134" t="s">
        <v>16</v>
      </c>
      <c r="AO22" s="319" t="s">
        <v>178</v>
      </c>
      <c r="AP22" s="253" t="str">
        <f>IF(AND(F22&lt;65,S22="以前",COUNT(F22)=1,N22&gt;0),"該当",IF(AND(F22&gt;64,S22="以降",N22&gt;0),"該当",""))</f>
        <v/>
      </c>
      <c r="AQ22" s="253" t="str">
        <f>IF(F22&gt;74,"該当","")</f>
        <v/>
      </c>
      <c r="AR22" s="253" t="str">
        <f>IF(AND(F22&lt;60,COUNT(F22)=1,N22&gt;0),"該当",IF(AND(F22&gt;1,N22&gt;0,F22&lt;60),"該当",""))</f>
        <v/>
      </c>
      <c r="AS22" s="252" t="str">
        <f>IF(AND(F22&gt;=0,COUNT(F22)=1,(I22+N22+U22)&gt;=0),"",IF(AND(F22="",(I22+N22+U22)&lt;=0),"","該当"))</f>
        <v/>
      </c>
      <c r="AT22" s="318"/>
      <c r="AU22" s="251"/>
      <c r="AV22" s="251"/>
      <c r="AW22" s="251"/>
      <c r="AX22" s="251"/>
      <c r="AY22" s="251"/>
      <c r="AZ22" s="251"/>
      <c r="BA22" s="251"/>
      <c r="BB22" s="251"/>
      <c r="BC22" s="251"/>
      <c r="BD22" s="251"/>
      <c r="BE22" s="251"/>
    </row>
    <row r="23" spans="1:57" ht="20.25" customHeight="1" x14ac:dyDescent="0.15">
      <c r="B23" s="367" t="s">
        <v>6</v>
      </c>
      <c r="C23" s="367"/>
      <c r="D23" s="367"/>
      <c r="E23" s="367"/>
      <c r="F23" s="361"/>
      <c r="G23" s="366"/>
      <c r="H23" s="114" t="s">
        <v>15</v>
      </c>
      <c r="I23" s="346"/>
      <c r="J23" s="346"/>
      <c r="K23" s="346"/>
      <c r="L23" s="347"/>
      <c r="M23" s="112" t="s">
        <v>16</v>
      </c>
      <c r="N23" s="347"/>
      <c r="O23" s="362"/>
      <c r="P23" s="362"/>
      <c r="Q23" s="362"/>
      <c r="R23" s="113" t="s">
        <v>16</v>
      </c>
      <c r="S23" s="360" t="s">
        <v>170</v>
      </c>
      <c r="T23" s="361"/>
      <c r="U23" s="346"/>
      <c r="V23" s="346"/>
      <c r="W23" s="346"/>
      <c r="X23" s="347"/>
      <c r="Y23" s="112" t="s">
        <v>16</v>
      </c>
      <c r="Z23" s="333" t="str">
        <f>IF(税額計算!C12&gt;0,税額計算!C12,"0")</f>
        <v>0</v>
      </c>
      <c r="AA23" s="333"/>
      <c r="AB23" s="333"/>
      <c r="AC23" s="334"/>
      <c r="AD23" s="134" t="s">
        <v>16</v>
      </c>
      <c r="AE23" s="334" t="str">
        <f>IF(F23="","",税率登録シート!$D$28)</f>
        <v/>
      </c>
      <c r="AF23" s="335"/>
      <c r="AG23" s="335"/>
      <c r="AH23" s="335"/>
      <c r="AI23" s="134" t="s">
        <v>16</v>
      </c>
      <c r="AJ23" s="333" t="str">
        <f>IF(税額計算!E12&gt;0,税額計算!E12,"0")</f>
        <v>0</v>
      </c>
      <c r="AK23" s="333"/>
      <c r="AL23" s="333"/>
      <c r="AM23" s="334"/>
      <c r="AN23" s="134" t="s">
        <v>16</v>
      </c>
      <c r="AO23" s="319" t="s">
        <v>178</v>
      </c>
      <c r="AP23" s="253" t="str">
        <f t="shared" ref="AP23:AP28" si="0">IF(AND(F23&lt;65,S23="以前",COUNT(F23)=1,N23&gt;0),"該当",IF(AND(F23&gt;64,S23="以降",N23&gt;0),"該当",""))</f>
        <v/>
      </c>
      <c r="AQ23" s="253" t="str">
        <f t="shared" ref="AQ23:AQ28" si="1">IF(F23&gt;74,"該当","")</f>
        <v/>
      </c>
      <c r="AR23" s="253" t="str">
        <f t="shared" ref="AR23:AR28" si="2">IF(AND(F23&lt;60,COUNT(F23)=1,N23&gt;0),"該当",IF(AND(F23&gt;1,N23&gt;0,F23&lt;60),"該当",""))</f>
        <v/>
      </c>
      <c r="AS23" s="252" t="str">
        <f t="shared" ref="AS23:AS28" si="3">IF(AND(F23&gt;=0,COUNT(F23)=1,(I23+N23+U23)&gt;=0),"",IF(AND(F23="",(I23+N23+U23)&lt;=0),"","該当"))</f>
        <v/>
      </c>
      <c r="AT23" s="318"/>
      <c r="AU23" s="251"/>
      <c r="AV23" s="251"/>
      <c r="AW23" s="251"/>
      <c r="AX23" s="251"/>
      <c r="AY23" s="251"/>
      <c r="AZ23" s="251"/>
      <c r="BA23" s="251"/>
      <c r="BB23" s="251"/>
      <c r="BC23" s="251"/>
      <c r="BD23" s="251"/>
      <c r="BE23" s="251"/>
    </row>
    <row r="24" spans="1:57" ht="20.25" customHeight="1" x14ac:dyDescent="0.15">
      <c r="B24" s="367" t="s">
        <v>7</v>
      </c>
      <c r="C24" s="367"/>
      <c r="D24" s="367"/>
      <c r="E24" s="367"/>
      <c r="F24" s="361"/>
      <c r="G24" s="366"/>
      <c r="H24" s="114" t="s">
        <v>15</v>
      </c>
      <c r="I24" s="346"/>
      <c r="J24" s="346"/>
      <c r="K24" s="346"/>
      <c r="L24" s="347"/>
      <c r="M24" s="112" t="s">
        <v>16</v>
      </c>
      <c r="N24" s="347"/>
      <c r="O24" s="362"/>
      <c r="P24" s="362"/>
      <c r="Q24" s="362"/>
      <c r="R24" s="113" t="s">
        <v>16</v>
      </c>
      <c r="S24" s="360" t="s">
        <v>185</v>
      </c>
      <c r="T24" s="361"/>
      <c r="U24" s="346"/>
      <c r="V24" s="346"/>
      <c r="W24" s="346"/>
      <c r="X24" s="347"/>
      <c r="Y24" s="112" t="s">
        <v>16</v>
      </c>
      <c r="Z24" s="333" t="str">
        <f>IF(税額計算!C13&gt;0,税額計算!C13,"0")</f>
        <v>0</v>
      </c>
      <c r="AA24" s="333"/>
      <c r="AB24" s="333"/>
      <c r="AC24" s="334"/>
      <c r="AD24" s="134" t="s">
        <v>16</v>
      </c>
      <c r="AE24" s="334" t="str">
        <f>IF(F24="","",税率登録シート!$D$28)</f>
        <v/>
      </c>
      <c r="AF24" s="335"/>
      <c r="AG24" s="335"/>
      <c r="AH24" s="335"/>
      <c r="AI24" s="134" t="s">
        <v>16</v>
      </c>
      <c r="AJ24" s="333" t="str">
        <f>IF(税額計算!E13&gt;0,税額計算!E13,"0")</f>
        <v>0</v>
      </c>
      <c r="AK24" s="333"/>
      <c r="AL24" s="333"/>
      <c r="AM24" s="334"/>
      <c r="AN24" s="134" t="s">
        <v>16</v>
      </c>
      <c r="AO24" s="319" t="s">
        <v>178</v>
      </c>
      <c r="AP24" s="253" t="str">
        <f t="shared" si="0"/>
        <v/>
      </c>
      <c r="AQ24" s="253" t="str">
        <f t="shared" si="1"/>
        <v/>
      </c>
      <c r="AR24" s="253" t="str">
        <f t="shared" si="2"/>
        <v/>
      </c>
      <c r="AS24" s="252" t="str">
        <f t="shared" si="3"/>
        <v/>
      </c>
      <c r="AT24" s="318"/>
      <c r="AU24" s="251"/>
      <c r="AV24" s="251"/>
      <c r="AW24" s="251"/>
      <c r="AX24" s="251"/>
      <c r="AY24" s="251"/>
      <c r="AZ24" s="251"/>
      <c r="BA24" s="251"/>
      <c r="BB24" s="251"/>
      <c r="BC24" s="251"/>
      <c r="BD24" s="251"/>
      <c r="BE24" s="251"/>
    </row>
    <row r="25" spans="1:57" ht="20.25" customHeight="1" x14ac:dyDescent="0.15">
      <c r="B25" s="367" t="s">
        <v>8</v>
      </c>
      <c r="C25" s="367"/>
      <c r="D25" s="367"/>
      <c r="E25" s="367"/>
      <c r="F25" s="361"/>
      <c r="G25" s="366"/>
      <c r="H25" s="114" t="s">
        <v>15</v>
      </c>
      <c r="I25" s="346"/>
      <c r="J25" s="346"/>
      <c r="K25" s="346"/>
      <c r="L25" s="347"/>
      <c r="M25" s="112" t="s">
        <v>16</v>
      </c>
      <c r="N25" s="347"/>
      <c r="O25" s="362"/>
      <c r="P25" s="362"/>
      <c r="Q25" s="362"/>
      <c r="R25" s="113" t="s">
        <v>16</v>
      </c>
      <c r="S25" s="360" t="s">
        <v>170</v>
      </c>
      <c r="T25" s="361"/>
      <c r="U25" s="346"/>
      <c r="V25" s="346"/>
      <c r="W25" s="346"/>
      <c r="X25" s="347"/>
      <c r="Y25" s="112" t="s">
        <v>16</v>
      </c>
      <c r="Z25" s="333" t="str">
        <f>IF(税額計算!C14&gt;0,税額計算!C14,"0")</f>
        <v>0</v>
      </c>
      <c r="AA25" s="333"/>
      <c r="AB25" s="333"/>
      <c r="AC25" s="334"/>
      <c r="AD25" s="134" t="s">
        <v>16</v>
      </c>
      <c r="AE25" s="334" t="str">
        <f>IF(F25="","",税率登録シート!$D$28)</f>
        <v/>
      </c>
      <c r="AF25" s="335"/>
      <c r="AG25" s="335"/>
      <c r="AH25" s="335"/>
      <c r="AI25" s="134" t="s">
        <v>16</v>
      </c>
      <c r="AJ25" s="333" t="str">
        <f>IF(税額計算!E14&gt;0,税額計算!E14,"0")</f>
        <v>0</v>
      </c>
      <c r="AK25" s="333"/>
      <c r="AL25" s="333"/>
      <c r="AM25" s="334"/>
      <c r="AN25" s="134" t="s">
        <v>16</v>
      </c>
      <c r="AO25" s="319" t="s">
        <v>178</v>
      </c>
      <c r="AP25" s="253" t="str">
        <f t="shared" si="0"/>
        <v/>
      </c>
      <c r="AQ25" s="253" t="str">
        <f t="shared" si="1"/>
        <v/>
      </c>
      <c r="AR25" s="253" t="str">
        <f t="shared" si="2"/>
        <v/>
      </c>
      <c r="AS25" s="252" t="str">
        <f t="shared" si="3"/>
        <v/>
      </c>
      <c r="AT25" s="318"/>
      <c r="AU25" s="251"/>
      <c r="AV25" s="251"/>
      <c r="AW25" s="251"/>
      <c r="AX25" s="251"/>
      <c r="AY25" s="251"/>
      <c r="AZ25" s="251"/>
      <c r="BA25" s="251"/>
      <c r="BB25" s="251"/>
      <c r="BC25" s="251"/>
      <c r="BD25" s="251"/>
      <c r="BE25" s="251"/>
    </row>
    <row r="26" spans="1:57" ht="20.25" customHeight="1" x14ac:dyDescent="0.15">
      <c r="B26" s="367" t="s">
        <v>9</v>
      </c>
      <c r="C26" s="367"/>
      <c r="D26" s="367"/>
      <c r="E26" s="367"/>
      <c r="F26" s="361"/>
      <c r="G26" s="366"/>
      <c r="H26" s="114" t="s">
        <v>15</v>
      </c>
      <c r="I26" s="346"/>
      <c r="J26" s="346"/>
      <c r="K26" s="346"/>
      <c r="L26" s="347"/>
      <c r="M26" s="112" t="s">
        <v>16</v>
      </c>
      <c r="N26" s="347"/>
      <c r="O26" s="362"/>
      <c r="P26" s="362"/>
      <c r="Q26" s="362"/>
      <c r="R26" s="113" t="s">
        <v>16</v>
      </c>
      <c r="S26" s="360" t="s">
        <v>170</v>
      </c>
      <c r="T26" s="361"/>
      <c r="U26" s="346"/>
      <c r="V26" s="346"/>
      <c r="W26" s="346"/>
      <c r="X26" s="347"/>
      <c r="Y26" s="112" t="s">
        <v>16</v>
      </c>
      <c r="Z26" s="333" t="str">
        <f>IF(税額計算!C15&gt;0,税額計算!C15,"0")</f>
        <v>0</v>
      </c>
      <c r="AA26" s="333"/>
      <c r="AB26" s="333"/>
      <c r="AC26" s="334"/>
      <c r="AD26" s="134" t="s">
        <v>16</v>
      </c>
      <c r="AE26" s="334" t="str">
        <f>IF(F26="","",税率登録シート!$D$28)</f>
        <v/>
      </c>
      <c r="AF26" s="335"/>
      <c r="AG26" s="335"/>
      <c r="AH26" s="335"/>
      <c r="AI26" s="134" t="s">
        <v>16</v>
      </c>
      <c r="AJ26" s="333" t="str">
        <f>IF(税額計算!E15&gt;0,税額計算!E15,"0")</f>
        <v>0</v>
      </c>
      <c r="AK26" s="333"/>
      <c r="AL26" s="333"/>
      <c r="AM26" s="334"/>
      <c r="AN26" s="134" t="s">
        <v>16</v>
      </c>
      <c r="AO26" s="319" t="s">
        <v>178</v>
      </c>
      <c r="AP26" s="253" t="str">
        <f t="shared" si="0"/>
        <v/>
      </c>
      <c r="AQ26" s="253" t="str">
        <f t="shared" si="1"/>
        <v/>
      </c>
      <c r="AR26" s="253" t="str">
        <f t="shared" si="2"/>
        <v/>
      </c>
      <c r="AS26" s="252" t="str">
        <f t="shared" si="3"/>
        <v/>
      </c>
      <c r="AT26" s="318"/>
      <c r="AU26" s="251"/>
      <c r="AV26" s="251"/>
      <c r="AW26" s="251"/>
      <c r="AX26" s="251"/>
      <c r="AY26" s="251"/>
      <c r="AZ26" s="251"/>
      <c r="BA26" s="251"/>
      <c r="BB26" s="251"/>
      <c r="BC26" s="251"/>
      <c r="BD26" s="251"/>
      <c r="BE26" s="251"/>
    </row>
    <row r="27" spans="1:57" ht="20.25" customHeight="1" x14ac:dyDescent="0.15">
      <c r="B27" s="367" t="s">
        <v>10</v>
      </c>
      <c r="C27" s="367"/>
      <c r="D27" s="367"/>
      <c r="E27" s="367"/>
      <c r="F27" s="361"/>
      <c r="G27" s="366"/>
      <c r="H27" s="114" t="s">
        <v>15</v>
      </c>
      <c r="I27" s="346"/>
      <c r="J27" s="346"/>
      <c r="K27" s="346"/>
      <c r="L27" s="347"/>
      <c r="M27" s="112" t="s">
        <v>16</v>
      </c>
      <c r="N27" s="347"/>
      <c r="O27" s="362"/>
      <c r="P27" s="362"/>
      <c r="Q27" s="362"/>
      <c r="R27" s="113" t="s">
        <v>16</v>
      </c>
      <c r="S27" s="360" t="s">
        <v>170</v>
      </c>
      <c r="T27" s="361"/>
      <c r="U27" s="346"/>
      <c r="V27" s="346"/>
      <c r="W27" s="346"/>
      <c r="X27" s="347"/>
      <c r="Y27" s="112" t="s">
        <v>16</v>
      </c>
      <c r="Z27" s="333" t="str">
        <f>IF(税額計算!C16&gt;0,税額計算!C16,"0")</f>
        <v>0</v>
      </c>
      <c r="AA27" s="333"/>
      <c r="AB27" s="333"/>
      <c r="AC27" s="334"/>
      <c r="AD27" s="134" t="s">
        <v>16</v>
      </c>
      <c r="AE27" s="334" t="str">
        <f>IF(F27="","",税率登録シート!$D$28)</f>
        <v/>
      </c>
      <c r="AF27" s="335"/>
      <c r="AG27" s="335"/>
      <c r="AH27" s="335"/>
      <c r="AI27" s="134" t="s">
        <v>16</v>
      </c>
      <c r="AJ27" s="333" t="str">
        <f>IF(税額計算!E16&gt;0,税額計算!E16,"0")</f>
        <v>0</v>
      </c>
      <c r="AK27" s="333"/>
      <c r="AL27" s="333"/>
      <c r="AM27" s="334"/>
      <c r="AN27" s="134" t="s">
        <v>16</v>
      </c>
      <c r="AO27" s="319" t="s">
        <v>178</v>
      </c>
      <c r="AP27" s="253" t="str">
        <f t="shared" si="0"/>
        <v/>
      </c>
      <c r="AQ27" s="253" t="str">
        <f t="shared" si="1"/>
        <v/>
      </c>
      <c r="AR27" s="253" t="str">
        <f t="shared" si="2"/>
        <v/>
      </c>
      <c r="AS27" s="252" t="str">
        <f t="shared" si="3"/>
        <v/>
      </c>
      <c r="AT27" s="318"/>
      <c r="AU27" s="251"/>
      <c r="AV27" s="251"/>
      <c r="AW27" s="251"/>
      <c r="AX27" s="251"/>
      <c r="AY27" s="251"/>
      <c r="AZ27" s="251"/>
      <c r="BA27" s="251"/>
      <c r="BB27" s="251"/>
      <c r="BC27" s="251"/>
      <c r="BD27" s="251"/>
      <c r="BE27" s="251"/>
    </row>
    <row r="28" spans="1:57" ht="20.25" customHeight="1" x14ac:dyDescent="0.15">
      <c r="B28" s="367" t="s">
        <v>11</v>
      </c>
      <c r="C28" s="367"/>
      <c r="D28" s="367"/>
      <c r="E28" s="367"/>
      <c r="F28" s="361"/>
      <c r="G28" s="366"/>
      <c r="H28" s="114" t="s">
        <v>15</v>
      </c>
      <c r="I28" s="346"/>
      <c r="J28" s="346"/>
      <c r="K28" s="346"/>
      <c r="L28" s="347"/>
      <c r="M28" s="112" t="s">
        <v>16</v>
      </c>
      <c r="N28" s="347"/>
      <c r="O28" s="362"/>
      <c r="P28" s="362"/>
      <c r="Q28" s="362"/>
      <c r="R28" s="113" t="s">
        <v>16</v>
      </c>
      <c r="S28" s="360" t="s">
        <v>170</v>
      </c>
      <c r="T28" s="361"/>
      <c r="U28" s="346"/>
      <c r="V28" s="346"/>
      <c r="W28" s="346"/>
      <c r="X28" s="347"/>
      <c r="Y28" s="112" t="s">
        <v>16</v>
      </c>
      <c r="Z28" s="333" t="str">
        <f>IF(税額計算!C17&gt;0,税額計算!C17,"0")</f>
        <v>0</v>
      </c>
      <c r="AA28" s="333"/>
      <c r="AB28" s="333"/>
      <c r="AC28" s="334"/>
      <c r="AD28" s="134" t="s">
        <v>16</v>
      </c>
      <c r="AE28" s="334" t="str">
        <f>IF(F28="","",税率登録シート!$D$28)</f>
        <v/>
      </c>
      <c r="AF28" s="335"/>
      <c r="AG28" s="335"/>
      <c r="AH28" s="335"/>
      <c r="AI28" s="134" t="s">
        <v>16</v>
      </c>
      <c r="AJ28" s="333" t="str">
        <f>IF(税額計算!E17&gt;0,税額計算!E17,"0")</f>
        <v>0</v>
      </c>
      <c r="AK28" s="333"/>
      <c r="AL28" s="333"/>
      <c r="AM28" s="334"/>
      <c r="AN28" s="134" t="s">
        <v>16</v>
      </c>
      <c r="AO28" s="319" t="s">
        <v>178</v>
      </c>
      <c r="AP28" s="253" t="str">
        <f t="shared" si="0"/>
        <v/>
      </c>
      <c r="AQ28" s="253" t="str">
        <f t="shared" si="1"/>
        <v/>
      </c>
      <c r="AR28" s="253" t="str">
        <f t="shared" si="2"/>
        <v/>
      </c>
      <c r="AS28" s="252" t="str">
        <f t="shared" si="3"/>
        <v/>
      </c>
      <c r="AT28" s="318"/>
      <c r="AU28" s="251"/>
      <c r="AV28" s="251"/>
      <c r="AW28" s="251"/>
      <c r="AX28" s="251"/>
      <c r="AY28" s="251"/>
      <c r="AZ28" s="251"/>
      <c r="BA28" s="251"/>
      <c r="BB28" s="251"/>
      <c r="BC28" s="251"/>
      <c r="BD28" s="251"/>
      <c r="BE28" s="251"/>
    </row>
    <row r="29" spans="1:57" s="169" customFormat="1" ht="16.5" customHeight="1" x14ac:dyDescent="0.15">
      <c r="A29" s="177" t="s">
        <v>52</v>
      </c>
      <c r="F29" s="522" t="str">
        <f>IF(OR($AQ$22="該当",$AQ$23="該当",$AQ$24="該当",$AQ$25="該当",$AQ$26="該当",$AQ$27="該当",$AQ$28="該当"),"※後期高齢者医療制度へ移った方を入力していませんか？","")</f>
        <v/>
      </c>
      <c r="G29" s="522"/>
      <c r="H29" s="522"/>
      <c r="I29" s="522"/>
      <c r="J29" s="522"/>
      <c r="K29" s="522"/>
      <c r="L29" s="522"/>
      <c r="M29" s="522"/>
      <c r="N29" s="522"/>
      <c r="O29" s="522"/>
      <c r="P29" s="522"/>
      <c r="Q29" s="522"/>
      <c r="R29" s="522"/>
      <c r="S29" s="522"/>
      <c r="T29" s="522"/>
      <c r="U29" s="522"/>
      <c r="V29" s="522"/>
      <c r="W29" s="522"/>
      <c r="X29" s="522"/>
      <c r="Y29" s="522"/>
      <c r="Z29" s="363" t="str">
        <f>IF(OR($AP$22="該当",$AP$23="該当",$AP$24="該当",$AP$25="該当",$AP$26="該当",$AP$27="該当",$AP$28="該当",$AR$22="該当",$AR$23="該当",$AR$24="該当",$AR$25="該当",$AR$26="該当",$AR$27="該当",$AR$28="該当"),"※年金受給者の年齢を確認してください!","")</f>
        <v/>
      </c>
      <c r="AA29" s="363"/>
      <c r="AB29" s="363"/>
      <c r="AC29" s="363"/>
      <c r="AD29" s="363"/>
      <c r="AE29" s="363"/>
      <c r="AF29" s="363"/>
      <c r="AG29" s="363"/>
      <c r="AH29" s="363"/>
      <c r="AI29" s="363"/>
      <c r="AJ29" s="363"/>
      <c r="AK29" s="363"/>
      <c r="AL29" s="363"/>
      <c r="AM29" s="363"/>
      <c r="AN29" s="363"/>
      <c r="AP29" s="170"/>
      <c r="AQ29" s="170"/>
      <c r="AR29" s="170"/>
      <c r="AS29" s="171"/>
    </row>
    <row r="30" spans="1:57" s="177" customFormat="1" ht="14.25" customHeight="1" x14ac:dyDescent="0.15">
      <c r="A30" s="177" t="s">
        <v>55</v>
      </c>
      <c r="AJ30" s="363" t="str">
        <f>IF(OR(AS22="該当",AS23="該当",AS24="該当",AS25="該当",AS26="該当",AS27="該当",AS28="該当"),"※年齢に入力漏れがあります！","")</f>
        <v/>
      </c>
      <c r="AK30" s="363"/>
      <c r="AL30" s="363"/>
      <c r="AM30" s="363"/>
      <c r="AN30" s="363"/>
      <c r="AO30" s="363"/>
      <c r="AP30" s="363"/>
      <c r="AQ30" s="363"/>
      <c r="AR30" s="363"/>
      <c r="AS30" s="363"/>
      <c r="AT30" s="363"/>
    </row>
    <row r="31" spans="1:57" s="177" customFormat="1" ht="14.25" customHeight="1" x14ac:dyDescent="0.15">
      <c r="A31" s="177" t="str">
        <f>"　②給与収入は"&amp;TEXT(税率登録シート!O3,"ggge")&amp;"年中の総支給額です。２ヵ所以上の事業所から給与を受けている場合は合計額を入力してください。"</f>
        <v>　②給与収入は令和6年中の総支給額です。２ヵ所以上の事業所から給与を受けている場合は合計額を入力してください。</v>
      </c>
      <c r="AP31" s="175"/>
      <c r="AQ31" s="175"/>
      <c r="AR31" s="175"/>
      <c r="AS31" s="176"/>
    </row>
    <row r="32" spans="1:57" s="177" customFormat="1" ht="14.25" customHeight="1" x14ac:dyDescent="0.15">
      <c r="A32" s="177" t="str">
        <f>"　③年金収入(公的年金)は"&amp;TEXT(税率登録シート!O3,"ggge")&amp;"年中の総支給額です。２種類以上の年金を受給している場合は合計額を入力してください。"</f>
        <v>　③年金収入(公的年金)は令和6年中の総支給額です。２種類以上の年金を受給している場合は合計額を入力してください。</v>
      </c>
      <c r="AP32" s="175"/>
      <c r="AQ32" s="175"/>
      <c r="AR32" s="175"/>
      <c r="AS32" s="176"/>
    </row>
    <row r="33" spans="1:46" s="177" customFormat="1" ht="14.25" customHeight="1" x14ac:dyDescent="0.15">
      <c r="A33" s="177" t="s">
        <v>97</v>
      </c>
      <c r="AP33" s="175"/>
      <c r="AQ33" s="175"/>
      <c r="AR33" s="175"/>
      <c r="AS33" s="176"/>
    </row>
    <row r="34" spans="1:46" s="149" customFormat="1" ht="14.25" customHeight="1" x14ac:dyDescent="0.15">
      <c r="A34" s="186"/>
      <c r="B34" s="187" t="s">
        <v>61</v>
      </c>
      <c r="C34" s="188"/>
      <c r="D34" s="188"/>
      <c r="E34" s="186"/>
      <c r="F34" s="186"/>
      <c r="H34" s="400"/>
      <c r="I34" s="400"/>
      <c r="J34" s="400"/>
      <c r="K34" s="186" t="s">
        <v>62</v>
      </c>
      <c r="L34" s="186"/>
      <c r="M34" s="437"/>
      <c r="N34" s="437"/>
      <c r="O34" s="437"/>
      <c r="P34" s="146" t="s">
        <v>82</v>
      </c>
      <c r="Q34" s="146"/>
      <c r="R34" s="146"/>
      <c r="S34" s="146"/>
      <c r="T34" s="146"/>
      <c r="U34" s="146"/>
      <c r="V34" s="146"/>
      <c r="W34" s="146"/>
      <c r="X34" s="146"/>
      <c r="Y34" s="146"/>
      <c r="Z34" s="146"/>
      <c r="AA34" s="146"/>
      <c r="AB34" s="146"/>
      <c r="AC34" s="146"/>
      <c r="AD34" s="146"/>
      <c r="AE34" s="146"/>
      <c r="AF34" s="146"/>
      <c r="AG34" s="186"/>
      <c r="AH34" s="146"/>
      <c r="AI34" s="186"/>
      <c r="AJ34" s="146"/>
      <c r="AK34" s="146"/>
      <c r="AL34" s="146"/>
      <c r="AM34" s="146"/>
      <c r="AN34" s="146"/>
      <c r="AP34" s="151"/>
      <c r="AQ34" s="151"/>
      <c r="AR34" s="151"/>
      <c r="AS34" s="152"/>
    </row>
    <row r="35" spans="1:46" s="169" customFormat="1" ht="14.25" customHeight="1" x14ac:dyDescent="0.15">
      <c r="B35" s="220" t="str">
        <f>"　ただし、①現在の年齢が65歳、③年金収入欄を"&amp;TEXT(税率登録シート!K2,"ggge")&amp;"年１月１日現在では64歳のため「以降」を選択した場合による表示は問題ありません。"</f>
        <v>　ただし、①現在の年齢が65歳、③年金収入欄を令和7年１月１日現在では64歳のため「以降」を選択した場合による表示は問題ありません。</v>
      </c>
      <c r="AP35" s="170"/>
      <c r="AQ35" s="170"/>
      <c r="AR35" s="170"/>
      <c r="AS35" s="171"/>
    </row>
    <row r="36" spans="1:46" s="180" customFormat="1" ht="16.5" customHeight="1" x14ac:dyDescent="0.15">
      <c r="AP36" s="178"/>
      <c r="AQ36" s="178"/>
      <c r="AR36" s="178"/>
      <c r="AS36" s="179"/>
    </row>
    <row r="37" spans="1:46" s="109" customFormat="1" ht="16.5" customHeight="1" x14ac:dyDescent="0.15">
      <c r="A37" s="115" t="s">
        <v>94</v>
      </c>
      <c r="AP37" s="151"/>
      <c r="AQ37" s="151"/>
      <c r="AR37" s="151"/>
      <c r="AS37" s="152"/>
      <c r="AT37" s="149"/>
    </row>
    <row r="38" spans="1:46" s="109" customFormat="1" ht="16.5" customHeight="1" x14ac:dyDescent="0.15">
      <c r="A38" s="115" t="s">
        <v>95</v>
      </c>
      <c r="AP38" s="151"/>
      <c r="AQ38" s="151"/>
      <c r="AR38" s="151"/>
      <c r="AS38" s="152"/>
      <c r="AT38" s="149"/>
    </row>
    <row r="39" spans="1:46" ht="16.5" customHeight="1" x14ac:dyDescent="0.15">
      <c r="B39" s="523"/>
      <c r="C39" s="524"/>
      <c r="D39" s="524"/>
      <c r="E39" s="525"/>
      <c r="F39" s="529" t="s">
        <v>53</v>
      </c>
      <c r="G39" s="530"/>
      <c r="H39" s="531"/>
      <c r="I39" s="516" t="s">
        <v>54</v>
      </c>
      <c r="J39" s="517"/>
      <c r="K39" s="517"/>
      <c r="L39" s="517"/>
      <c r="M39" s="518"/>
      <c r="N39" s="516" t="s">
        <v>200</v>
      </c>
      <c r="O39" s="517"/>
      <c r="P39" s="517"/>
      <c r="Q39" s="517"/>
      <c r="R39" s="517"/>
      <c r="S39" s="517"/>
      <c r="T39" s="518"/>
      <c r="U39" s="339" t="s">
        <v>60</v>
      </c>
      <c r="V39" s="340"/>
      <c r="W39" s="340"/>
      <c r="X39" s="340"/>
      <c r="Y39" s="341"/>
      <c r="Z39" s="439" t="s">
        <v>202</v>
      </c>
      <c r="AA39" s="440"/>
      <c r="AB39" s="440"/>
      <c r="AC39" s="440"/>
      <c r="AD39" s="441"/>
      <c r="AE39" s="364" t="s">
        <v>203</v>
      </c>
      <c r="AF39" s="364"/>
      <c r="AG39" s="364"/>
      <c r="AH39" s="364"/>
      <c r="AI39" s="364"/>
      <c r="AJ39" s="169"/>
      <c r="AK39" s="169"/>
      <c r="AL39" s="169"/>
      <c r="AM39" s="169"/>
      <c r="AN39" s="169"/>
      <c r="AO39" s="136"/>
    </row>
    <row r="40" spans="1:46" ht="16.5" customHeight="1" x14ac:dyDescent="0.15">
      <c r="B40" s="526"/>
      <c r="C40" s="527"/>
      <c r="D40" s="527"/>
      <c r="E40" s="528"/>
      <c r="F40" s="532"/>
      <c r="G40" s="533"/>
      <c r="H40" s="534"/>
      <c r="I40" s="519"/>
      <c r="J40" s="520"/>
      <c r="K40" s="520"/>
      <c r="L40" s="520"/>
      <c r="M40" s="521"/>
      <c r="N40" s="519"/>
      <c r="O40" s="520"/>
      <c r="P40" s="520"/>
      <c r="Q40" s="520"/>
      <c r="R40" s="520"/>
      <c r="S40" s="520"/>
      <c r="T40" s="521"/>
      <c r="U40" s="342"/>
      <c r="V40" s="343"/>
      <c r="W40" s="343"/>
      <c r="X40" s="343"/>
      <c r="Y40" s="344"/>
      <c r="Z40" s="442"/>
      <c r="AA40" s="443"/>
      <c r="AB40" s="443"/>
      <c r="AC40" s="443"/>
      <c r="AD40" s="444"/>
      <c r="AE40" s="364"/>
      <c r="AF40" s="364"/>
      <c r="AG40" s="364"/>
      <c r="AH40" s="364"/>
      <c r="AI40" s="364"/>
      <c r="AJ40" s="169"/>
      <c r="AK40" s="169"/>
      <c r="AL40" s="169"/>
      <c r="AM40" s="169"/>
      <c r="AN40" s="169"/>
      <c r="AO40" s="136"/>
    </row>
    <row r="41" spans="1:46" ht="20.25" customHeight="1" x14ac:dyDescent="0.15">
      <c r="B41" s="535" t="s">
        <v>44</v>
      </c>
      <c r="C41" s="535"/>
      <c r="D41" s="535"/>
      <c r="E41" s="535"/>
      <c r="F41" s="361"/>
      <c r="G41" s="366"/>
      <c r="H41" s="114" t="s">
        <v>15</v>
      </c>
      <c r="I41" s="346"/>
      <c r="J41" s="346"/>
      <c r="K41" s="346"/>
      <c r="L41" s="347"/>
      <c r="M41" s="112" t="s">
        <v>16</v>
      </c>
      <c r="N41" s="453"/>
      <c r="O41" s="453"/>
      <c r="P41" s="453"/>
      <c r="Q41" s="454"/>
      <c r="R41" s="113" t="s">
        <v>16</v>
      </c>
      <c r="S41" s="360" t="s">
        <v>26</v>
      </c>
      <c r="T41" s="361"/>
      <c r="U41" s="346"/>
      <c r="V41" s="346"/>
      <c r="W41" s="346"/>
      <c r="X41" s="347"/>
      <c r="Y41" s="112" t="s">
        <v>16</v>
      </c>
      <c r="Z41" s="438" t="s">
        <v>46</v>
      </c>
      <c r="AA41" s="438"/>
      <c r="AB41" s="438"/>
      <c r="AC41" s="438"/>
      <c r="AD41" s="438"/>
      <c r="AE41" s="336" t="s">
        <v>178</v>
      </c>
      <c r="AF41" s="337"/>
      <c r="AG41" s="337"/>
      <c r="AH41" s="337"/>
      <c r="AI41" s="338"/>
      <c r="AJ41" s="185"/>
      <c r="AK41" s="157"/>
      <c r="AL41" s="157"/>
      <c r="AM41" s="157"/>
      <c r="AN41" s="146"/>
      <c r="AO41" s="136"/>
      <c r="AP41" s="125" t="str">
        <f>IF(AND(F41&lt;65,S41="以前",COUNT(F41)=1,N41&gt;0),"該当",IF(AND(F41&gt;66,S41="以降",N41&gt;0),"該当",""))</f>
        <v/>
      </c>
      <c r="AQ41" s="125" t="str">
        <f>IF(F41&gt;74,"該当","")</f>
        <v/>
      </c>
      <c r="AR41" s="125" t="str">
        <f>IF(AND(F41&lt;60,COUNT(F41)=1,N41&gt;0),"該当",IF(AND(F41&gt;1,P41&gt;0),"該当",""))</f>
        <v/>
      </c>
    </row>
    <row r="42" spans="1:46" s="136" customFormat="1" ht="16.5" customHeight="1" x14ac:dyDescent="0.15">
      <c r="N42" s="363" t="str">
        <f>IF(OR($AP$41="該当",$AR$41="該当"),"※年金受給者の年齢を確認してください!","")</f>
        <v/>
      </c>
      <c r="O42" s="363"/>
      <c r="P42" s="363"/>
      <c r="Q42" s="363"/>
      <c r="R42" s="363"/>
      <c r="S42" s="363"/>
      <c r="T42" s="363"/>
      <c r="U42" s="363"/>
      <c r="V42" s="363"/>
      <c r="W42" s="363"/>
      <c r="X42" s="363"/>
      <c r="Y42" s="363"/>
      <c r="Z42" s="363"/>
      <c r="AA42" s="363"/>
      <c r="AB42" s="363"/>
      <c r="AP42" s="147"/>
      <c r="AQ42" s="147"/>
      <c r="AR42" s="147"/>
      <c r="AS42" s="141"/>
    </row>
    <row r="43" spans="1:46" s="109" customFormat="1" ht="16.5" customHeight="1" x14ac:dyDescent="0.15">
      <c r="A43" s="116" t="s">
        <v>93</v>
      </c>
      <c r="AP43" s="151"/>
      <c r="AQ43" s="151"/>
      <c r="AR43" s="151"/>
      <c r="AS43" s="152"/>
      <c r="AT43" s="149"/>
    </row>
    <row r="44" spans="1:46" s="109" customFormat="1" ht="16.5" customHeight="1" x14ac:dyDescent="0.15">
      <c r="A44" s="116" t="s">
        <v>96</v>
      </c>
      <c r="AP44" s="151"/>
      <c r="AQ44" s="151"/>
      <c r="AR44" s="151"/>
      <c r="AS44" s="152"/>
      <c r="AT44" s="149"/>
    </row>
    <row r="45" spans="1:46" s="109" customFormat="1" ht="16.5" customHeight="1" x14ac:dyDescent="0.15">
      <c r="A45" s="117" t="s">
        <v>65</v>
      </c>
      <c r="AP45" s="151"/>
      <c r="AQ45" s="151"/>
      <c r="AR45" s="151"/>
      <c r="AS45" s="152"/>
      <c r="AT45" s="149"/>
    </row>
    <row r="46" spans="1:46" ht="16.5" customHeight="1" x14ac:dyDescent="0.15">
      <c r="B46" s="523"/>
      <c r="C46" s="524"/>
      <c r="D46" s="524"/>
      <c r="E46" s="525"/>
      <c r="F46" s="339" t="s">
        <v>53</v>
      </c>
      <c r="G46" s="340"/>
      <c r="H46" s="341"/>
      <c r="I46" s="377" t="s">
        <v>54</v>
      </c>
      <c r="J46" s="378"/>
      <c r="K46" s="378"/>
      <c r="L46" s="378"/>
      <c r="M46" s="379"/>
      <c r="N46" s="377" t="s">
        <v>63</v>
      </c>
      <c r="O46" s="378"/>
      <c r="P46" s="378"/>
      <c r="Q46" s="378"/>
      <c r="R46" s="378"/>
      <c r="S46" s="378"/>
      <c r="T46" s="379"/>
      <c r="U46" s="339" t="s">
        <v>60</v>
      </c>
      <c r="V46" s="340"/>
      <c r="W46" s="340"/>
      <c r="X46" s="340"/>
      <c r="Y46" s="341"/>
      <c r="Z46" s="345" t="s">
        <v>204</v>
      </c>
      <c r="AA46" s="345"/>
      <c r="AB46" s="345"/>
      <c r="AC46" s="345"/>
      <c r="AD46" s="345"/>
      <c r="AE46" s="184"/>
      <c r="AF46" s="184"/>
      <c r="AG46" s="184"/>
      <c r="AH46" s="184"/>
      <c r="AI46" s="184"/>
      <c r="AJ46" s="184"/>
      <c r="AK46" s="184"/>
      <c r="AL46" s="184"/>
      <c r="AM46" s="184"/>
      <c r="AN46" s="184"/>
      <c r="AO46" s="136"/>
    </row>
    <row r="47" spans="1:46" ht="16.5" customHeight="1" x14ac:dyDescent="0.15">
      <c r="B47" s="526"/>
      <c r="C47" s="527"/>
      <c r="D47" s="527"/>
      <c r="E47" s="528"/>
      <c r="F47" s="342"/>
      <c r="G47" s="343"/>
      <c r="H47" s="344"/>
      <c r="I47" s="383"/>
      <c r="J47" s="384"/>
      <c r="K47" s="384"/>
      <c r="L47" s="384"/>
      <c r="M47" s="385"/>
      <c r="N47" s="383"/>
      <c r="O47" s="384"/>
      <c r="P47" s="384"/>
      <c r="Q47" s="384"/>
      <c r="R47" s="384"/>
      <c r="S47" s="384"/>
      <c r="T47" s="385"/>
      <c r="U47" s="342"/>
      <c r="V47" s="343"/>
      <c r="W47" s="343"/>
      <c r="X47" s="343"/>
      <c r="Y47" s="344"/>
      <c r="Z47" s="345"/>
      <c r="AA47" s="345"/>
      <c r="AB47" s="345"/>
      <c r="AC47" s="345"/>
      <c r="AD47" s="345"/>
      <c r="AE47" s="184"/>
      <c r="AF47" s="184"/>
      <c r="AG47" s="184"/>
      <c r="AH47" s="184"/>
      <c r="AI47" s="184"/>
      <c r="AJ47" s="184"/>
      <c r="AK47" s="184"/>
      <c r="AL47" s="184"/>
      <c r="AM47" s="184"/>
      <c r="AN47" s="184"/>
      <c r="AO47" s="136"/>
    </row>
    <row r="48" spans="1:46" ht="20.25" customHeight="1" x14ac:dyDescent="0.15">
      <c r="B48" s="536" t="s">
        <v>48</v>
      </c>
      <c r="C48" s="536"/>
      <c r="D48" s="536"/>
      <c r="E48" s="536"/>
      <c r="F48" s="361"/>
      <c r="G48" s="366"/>
      <c r="H48" s="114" t="s">
        <v>15</v>
      </c>
      <c r="I48" s="346"/>
      <c r="J48" s="346"/>
      <c r="K48" s="346"/>
      <c r="L48" s="347"/>
      <c r="M48" s="112" t="s">
        <v>16</v>
      </c>
      <c r="N48" s="453"/>
      <c r="O48" s="453"/>
      <c r="P48" s="453"/>
      <c r="Q48" s="454"/>
      <c r="R48" s="113" t="s">
        <v>16</v>
      </c>
      <c r="S48" s="445" t="s">
        <v>26</v>
      </c>
      <c r="T48" s="446"/>
      <c r="U48" s="346"/>
      <c r="V48" s="346"/>
      <c r="W48" s="346"/>
      <c r="X48" s="347"/>
      <c r="Y48" s="112" t="s">
        <v>16</v>
      </c>
      <c r="Z48" s="336" t="s">
        <v>178</v>
      </c>
      <c r="AA48" s="337"/>
      <c r="AB48" s="337"/>
      <c r="AC48" s="337"/>
      <c r="AD48" s="338"/>
      <c r="AE48" s="145"/>
      <c r="AF48" s="145"/>
      <c r="AG48" s="145"/>
      <c r="AH48" s="145"/>
      <c r="AI48" s="146"/>
      <c r="AJ48" s="157"/>
      <c r="AK48" s="157"/>
      <c r="AL48" s="157"/>
      <c r="AM48" s="157"/>
      <c r="AN48" s="146"/>
      <c r="AO48" s="136"/>
      <c r="AQ48" s="125"/>
    </row>
    <row r="49" spans="1:46" ht="20.25" customHeight="1" x14ac:dyDescent="0.15">
      <c r="B49" s="536" t="s">
        <v>49</v>
      </c>
      <c r="C49" s="536"/>
      <c r="D49" s="536"/>
      <c r="E49" s="536"/>
      <c r="F49" s="361"/>
      <c r="G49" s="366"/>
      <c r="H49" s="114" t="s">
        <v>15</v>
      </c>
      <c r="I49" s="346"/>
      <c r="J49" s="346"/>
      <c r="K49" s="346"/>
      <c r="L49" s="347"/>
      <c r="M49" s="112" t="s">
        <v>16</v>
      </c>
      <c r="N49" s="453"/>
      <c r="O49" s="453"/>
      <c r="P49" s="453"/>
      <c r="Q49" s="454"/>
      <c r="R49" s="113" t="s">
        <v>16</v>
      </c>
      <c r="S49" s="445" t="s">
        <v>26</v>
      </c>
      <c r="T49" s="446"/>
      <c r="U49" s="346"/>
      <c r="V49" s="346"/>
      <c r="W49" s="346"/>
      <c r="X49" s="347"/>
      <c r="Y49" s="112" t="s">
        <v>16</v>
      </c>
      <c r="Z49" s="336" t="s">
        <v>178</v>
      </c>
      <c r="AA49" s="337"/>
      <c r="AB49" s="337"/>
      <c r="AC49" s="337"/>
      <c r="AD49" s="338"/>
      <c r="AE49" s="145"/>
      <c r="AF49" s="145"/>
      <c r="AG49" s="145"/>
      <c r="AH49" s="145"/>
      <c r="AI49" s="146"/>
      <c r="AJ49" s="157"/>
      <c r="AK49" s="157"/>
      <c r="AL49" s="157"/>
      <c r="AM49" s="157"/>
      <c r="AN49" s="146"/>
      <c r="AO49" s="136"/>
      <c r="AQ49" s="125"/>
    </row>
    <row r="50" spans="1:46" ht="20.25" customHeight="1" x14ac:dyDescent="0.15">
      <c r="B50" s="536" t="s">
        <v>50</v>
      </c>
      <c r="C50" s="536"/>
      <c r="D50" s="536"/>
      <c r="E50" s="536"/>
      <c r="F50" s="361"/>
      <c r="G50" s="366"/>
      <c r="H50" s="114" t="s">
        <v>15</v>
      </c>
      <c r="I50" s="346"/>
      <c r="J50" s="346"/>
      <c r="K50" s="346"/>
      <c r="L50" s="347"/>
      <c r="M50" s="112" t="s">
        <v>16</v>
      </c>
      <c r="N50" s="453"/>
      <c r="O50" s="453"/>
      <c r="P50" s="453"/>
      <c r="Q50" s="454"/>
      <c r="R50" s="113" t="s">
        <v>16</v>
      </c>
      <c r="S50" s="445" t="s">
        <v>26</v>
      </c>
      <c r="T50" s="446"/>
      <c r="U50" s="346"/>
      <c r="V50" s="346"/>
      <c r="W50" s="346"/>
      <c r="X50" s="347"/>
      <c r="Y50" s="112" t="s">
        <v>16</v>
      </c>
      <c r="Z50" s="336" t="s">
        <v>178</v>
      </c>
      <c r="AA50" s="337"/>
      <c r="AB50" s="337"/>
      <c r="AC50" s="337"/>
      <c r="AD50" s="338"/>
      <c r="AE50" s="145"/>
      <c r="AF50" s="145"/>
      <c r="AG50" s="145"/>
      <c r="AH50" s="145"/>
      <c r="AI50" s="146"/>
      <c r="AJ50" s="157"/>
      <c r="AK50" s="157"/>
      <c r="AL50" s="157"/>
      <c r="AM50" s="157"/>
      <c r="AN50" s="146"/>
      <c r="AO50" s="136"/>
      <c r="AQ50" s="125"/>
    </row>
    <row r="51" spans="1:46" s="136" customFormat="1" ht="16.5" customHeight="1" x14ac:dyDescent="0.15">
      <c r="E51" s="456" t="str">
        <f>IF(AND(F48&gt;0,F48&lt;65),"※後期高齢者医療制度へ移っていない方を入力していませんか？",IF(AND(COUNT(F48)=1,F48&lt;65),"※後期高齢者医療制度へ移っていない方を入力していませんか？",IF(AND(F49&gt;0,F49&lt;65),"後期廣高齢者医療制度へ移っていない方を入力していませんか？",IF(AND(COUNT(F49)=1,F49&lt;65),"※後期高齢者医療制度へ移っていない方を入力していませんか？",IF(AND(F50&gt;0,F50&lt;65),"※後期高齢者医療制度へ移っていない方を入力していませんか？",IF(AND(COUNT(F50)=1,F50&lt;65),"※後期高齢者医療制度へ移っていない方を入力していませんか？",IF(F48="","","")))))))</f>
        <v/>
      </c>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P51" s="147"/>
      <c r="AQ51" s="147"/>
      <c r="AR51" s="147"/>
      <c r="AS51" s="141"/>
    </row>
    <row r="52" spans="1:46" s="123" customFormat="1" ht="13.5" customHeight="1" x14ac:dyDescent="0.15">
      <c r="A52" s="135"/>
      <c r="B52" s="404" t="str">
        <f>"【暫定版】 "&amp;TEXT(税率登録シート!K2,"ggge年度")&amp;" 伊予市国民健康保険税試算結果"</f>
        <v>【暫定版】 令和7年度 伊予市国民健康保険税試算結果</v>
      </c>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135"/>
      <c r="AP52" s="181"/>
      <c r="AQ52" s="181"/>
      <c r="AR52" s="181"/>
      <c r="AS52" s="182"/>
      <c r="AT52" s="183"/>
    </row>
    <row r="53" spans="1:46" s="109" customFormat="1" ht="13.5" customHeight="1" x14ac:dyDescent="0.15">
      <c r="A53" s="135"/>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c r="AO53" s="135"/>
      <c r="AP53" s="151"/>
      <c r="AQ53" s="151"/>
      <c r="AR53" s="151"/>
      <c r="AS53" s="152"/>
      <c r="AT53" s="149"/>
    </row>
    <row r="54" spans="1:46" s="109" customFormat="1" ht="16.5" customHeight="1" x14ac:dyDescent="0.15">
      <c r="A54" s="124"/>
      <c r="B54" s="169" t="s">
        <v>169</v>
      </c>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51"/>
      <c r="AQ54" s="151"/>
      <c r="AR54" s="151"/>
      <c r="AS54" s="152"/>
      <c r="AT54" s="149"/>
    </row>
    <row r="55" spans="1:46" s="129" customFormat="1" ht="16.5" customHeight="1" x14ac:dyDescent="0.15">
      <c r="A55" s="128"/>
      <c r="B55" s="131" t="s">
        <v>98</v>
      </c>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51"/>
      <c r="AQ55" s="151"/>
      <c r="AR55" s="151"/>
      <c r="AS55" s="151"/>
      <c r="AT55" s="151"/>
    </row>
    <row r="56" spans="1:46" ht="16.5" customHeight="1" x14ac:dyDescent="0.15">
      <c r="B56" s="490" t="s">
        <v>107</v>
      </c>
      <c r="C56" s="491"/>
      <c r="D56" s="491"/>
      <c r="E56" s="492"/>
      <c r="F56" s="496" t="s">
        <v>84</v>
      </c>
      <c r="G56" s="497"/>
      <c r="H56" s="498"/>
      <c r="I56" s="502" t="s">
        <v>85</v>
      </c>
      <c r="J56" s="503"/>
      <c r="K56" s="503"/>
      <c r="L56" s="503"/>
      <c r="M56" s="504"/>
      <c r="N56" s="502" t="s">
        <v>90</v>
      </c>
      <c r="O56" s="503"/>
      <c r="P56" s="503"/>
      <c r="Q56" s="503"/>
      <c r="R56" s="503"/>
      <c r="S56" s="503"/>
      <c r="T56" s="504"/>
      <c r="U56" s="496" t="s">
        <v>89</v>
      </c>
      <c r="V56" s="497"/>
      <c r="W56" s="497"/>
      <c r="X56" s="497"/>
      <c r="Y56" s="498"/>
      <c r="Z56" s="496" t="s">
        <v>88</v>
      </c>
      <c r="AA56" s="497"/>
      <c r="AB56" s="497"/>
      <c r="AC56" s="497"/>
      <c r="AD56" s="498"/>
      <c r="AE56" s="496" t="s">
        <v>87</v>
      </c>
      <c r="AF56" s="497"/>
      <c r="AG56" s="497"/>
      <c r="AH56" s="497"/>
      <c r="AI56" s="498"/>
      <c r="AJ56" s="496" t="s">
        <v>86</v>
      </c>
      <c r="AK56" s="497"/>
      <c r="AL56" s="497"/>
      <c r="AM56" s="497"/>
      <c r="AN56" s="498"/>
    </row>
    <row r="57" spans="1:46" ht="16.5" customHeight="1" x14ac:dyDescent="0.15">
      <c r="B57" s="493"/>
      <c r="C57" s="494"/>
      <c r="D57" s="494"/>
      <c r="E57" s="495"/>
      <c r="F57" s="499"/>
      <c r="G57" s="500"/>
      <c r="H57" s="501"/>
      <c r="I57" s="505"/>
      <c r="J57" s="506"/>
      <c r="K57" s="506"/>
      <c r="L57" s="506"/>
      <c r="M57" s="507"/>
      <c r="N57" s="505"/>
      <c r="O57" s="506"/>
      <c r="P57" s="506"/>
      <c r="Q57" s="506"/>
      <c r="R57" s="506"/>
      <c r="S57" s="506"/>
      <c r="T57" s="507"/>
      <c r="U57" s="499"/>
      <c r="V57" s="500"/>
      <c r="W57" s="500"/>
      <c r="X57" s="500"/>
      <c r="Y57" s="501"/>
      <c r="Z57" s="499"/>
      <c r="AA57" s="500"/>
      <c r="AB57" s="500"/>
      <c r="AC57" s="500"/>
      <c r="AD57" s="501"/>
      <c r="AE57" s="499"/>
      <c r="AF57" s="500"/>
      <c r="AG57" s="500"/>
      <c r="AH57" s="500"/>
      <c r="AI57" s="501"/>
      <c r="AJ57" s="499"/>
      <c r="AK57" s="500"/>
      <c r="AL57" s="500"/>
      <c r="AM57" s="500"/>
      <c r="AN57" s="501"/>
    </row>
    <row r="58" spans="1:46" s="136" customFormat="1" ht="14.25" customHeight="1" x14ac:dyDescent="0.15">
      <c r="B58" s="509" t="s">
        <v>5</v>
      </c>
      <c r="C58" s="509"/>
      <c r="D58" s="509"/>
      <c r="E58" s="509"/>
      <c r="F58" s="485" t="str">
        <f>IF(F22="","",F22)</f>
        <v/>
      </c>
      <c r="G58" s="486"/>
      <c r="H58" s="139" t="s">
        <v>15</v>
      </c>
      <c r="I58" s="334" t="str">
        <f>IF(I22="","",I22)</f>
        <v/>
      </c>
      <c r="J58" s="335"/>
      <c r="K58" s="335"/>
      <c r="L58" s="335"/>
      <c r="M58" s="137" t="s">
        <v>16</v>
      </c>
      <c r="N58" s="334" t="str">
        <f>IF(N22="","",N22)</f>
        <v/>
      </c>
      <c r="O58" s="335"/>
      <c r="P58" s="335"/>
      <c r="Q58" s="335"/>
      <c r="R58" s="138" t="s">
        <v>16</v>
      </c>
      <c r="S58" s="508" t="str">
        <f>S22</f>
        <v>以降</v>
      </c>
      <c r="T58" s="509"/>
      <c r="U58" s="334" t="str">
        <f>IF(U22="","",U22)</f>
        <v/>
      </c>
      <c r="V58" s="335"/>
      <c r="W58" s="335"/>
      <c r="X58" s="335"/>
      <c r="Y58" s="137" t="s">
        <v>16</v>
      </c>
      <c r="Z58" s="511" t="str">
        <f>IF(Z22="","",Z22)</f>
        <v>0</v>
      </c>
      <c r="AA58" s="511"/>
      <c r="AB58" s="511"/>
      <c r="AC58" s="512"/>
      <c r="AD58" s="137" t="s">
        <v>16</v>
      </c>
      <c r="AE58" s="334">
        <f>税率登録シート!D28</f>
        <v>430000</v>
      </c>
      <c r="AF58" s="335"/>
      <c r="AG58" s="335"/>
      <c r="AH58" s="335"/>
      <c r="AI58" s="137" t="s">
        <v>16</v>
      </c>
      <c r="AJ58" s="511" t="str">
        <f>IF(AJ22="","",AJ22)</f>
        <v>0</v>
      </c>
      <c r="AK58" s="511"/>
      <c r="AL58" s="511"/>
      <c r="AM58" s="512"/>
      <c r="AN58" s="137" t="s">
        <v>16</v>
      </c>
      <c r="AP58" s="125"/>
      <c r="AQ58" s="125"/>
      <c r="AR58" s="598"/>
      <c r="AS58" s="598"/>
    </row>
    <row r="59" spans="1:46" s="136" customFormat="1" ht="14.25" customHeight="1" x14ac:dyDescent="0.15">
      <c r="B59" s="485" t="s">
        <v>6</v>
      </c>
      <c r="C59" s="485"/>
      <c r="D59" s="485"/>
      <c r="E59" s="485"/>
      <c r="F59" s="485" t="str">
        <f t="shared" ref="F59:F64" si="4">IF(F23="","",F23)</f>
        <v/>
      </c>
      <c r="G59" s="486"/>
      <c r="H59" s="139" t="s">
        <v>15</v>
      </c>
      <c r="I59" s="334" t="str">
        <f t="shared" ref="I59:I64" si="5">IF(I23="","",I23)</f>
        <v/>
      </c>
      <c r="J59" s="335"/>
      <c r="K59" s="335"/>
      <c r="L59" s="335"/>
      <c r="M59" s="134" t="s">
        <v>16</v>
      </c>
      <c r="N59" s="334" t="str">
        <f t="shared" ref="N59:N64" si="6">IF(N23="","",N23)</f>
        <v/>
      </c>
      <c r="O59" s="335"/>
      <c r="P59" s="335"/>
      <c r="Q59" s="335"/>
      <c r="R59" s="140" t="s">
        <v>16</v>
      </c>
      <c r="S59" s="508" t="str">
        <f t="shared" ref="S59:S64" si="7">S23</f>
        <v>以降</v>
      </c>
      <c r="T59" s="509"/>
      <c r="U59" s="334" t="str">
        <f t="shared" ref="U59:U64" si="8">IF(U23="","",U23)</f>
        <v/>
      </c>
      <c r="V59" s="335"/>
      <c r="W59" s="335"/>
      <c r="X59" s="335"/>
      <c r="Y59" s="134" t="s">
        <v>16</v>
      </c>
      <c r="Z59" s="511" t="str">
        <f t="shared" ref="Z59:Z64" si="9">IF(Z23="","",Z23)</f>
        <v>0</v>
      </c>
      <c r="AA59" s="511"/>
      <c r="AB59" s="511"/>
      <c r="AC59" s="512"/>
      <c r="AD59" s="134" t="s">
        <v>16</v>
      </c>
      <c r="AE59" s="334">
        <f>税率登録シート!D28</f>
        <v>430000</v>
      </c>
      <c r="AF59" s="335"/>
      <c r="AG59" s="335"/>
      <c r="AH59" s="335"/>
      <c r="AI59" s="134" t="s">
        <v>16</v>
      </c>
      <c r="AJ59" s="511" t="str">
        <f t="shared" ref="AJ59:AJ64" si="10">IF(AJ23="","",AJ23)</f>
        <v>0</v>
      </c>
      <c r="AK59" s="511"/>
      <c r="AL59" s="511"/>
      <c r="AM59" s="512"/>
      <c r="AN59" s="134" t="s">
        <v>16</v>
      </c>
      <c r="AP59" s="125"/>
      <c r="AQ59" s="125"/>
      <c r="AR59" s="125"/>
      <c r="AS59" s="141"/>
    </row>
    <row r="60" spans="1:46" s="136" customFormat="1" ht="14.25" customHeight="1" x14ac:dyDescent="0.15">
      <c r="B60" s="485" t="s">
        <v>7</v>
      </c>
      <c r="C60" s="485"/>
      <c r="D60" s="485"/>
      <c r="E60" s="485"/>
      <c r="F60" s="485" t="str">
        <f t="shared" si="4"/>
        <v/>
      </c>
      <c r="G60" s="486"/>
      <c r="H60" s="139" t="s">
        <v>15</v>
      </c>
      <c r="I60" s="334" t="str">
        <f t="shared" si="5"/>
        <v/>
      </c>
      <c r="J60" s="335"/>
      <c r="K60" s="335"/>
      <c r="L60" s="335"/>
      <c r="M60" s="134" t="s">
        <v>16</v>
      </c>
      <c r="N60" s="334" t="str">
        <f t="shared" si="6"/>
        <v/>
      </c>
      <c r="O60" s="335"/>
      <c r="P60" s="335"/>
      <c r="Q60" s="335"/>
      <c r="R60" s="140" t="s">
        <v>16</v>
      </c>
      <c r="S60" s="508" t="str">
        <f t="shared" si="7"/>
        <v>以降</v>
      </c>
      <c r="T60" s="509"/>
      <c r="U60" s="334" t="str">
        <f t="shared" si="8"/>
        <v/>
      </c>
      <c r="V60" s="335"/>
      <c r="W60" s="335"/>
      <c r="X60" s="335"/>
      <c r="Y60" s="134" t="s">
        <v>16</v>
      </c>
      <c r="Z60" s="511" t="str">
        <f t="shared" si="9"/>
        <v>0</v>
      </c>
      <c r="AA60" s="511"/>
      <c r="AB60" s="511"/>
      <c r="AC60" s="512"/>
      <c r="AD60" s="134" t="s">
        <v>16</v>
      </c>
      <c r="AE60" s="334">
        <f>税率登録シート!D28</f>
        <v>430000</v>
      </c>
      <c r="AF60" s="335"/>
      <c r="AG60" s="335"/>
      <c r="AH60" s="335"/>
      <c r="AI60" s="134" t="s">
        <v>16</v>
      </c>
      <c r="AJ60" s="511" t="str">
        <f t="shared" si="10"/>
        <v>0</v>
      </c>
      <c r="AK60" s="511"/>
      <c r="AL60" s="511"/>
      <c r="AM60" s="512"/>
      <c r="AN60" s="134" t="s">
        <v>16</v>
      </c>
      <c r="AP60" s="125"/>
      <c r="AQ60" s="125"/>
      <c r="AR60" s="125"/>
      <c r="AS60" s="141"/>
    </row>
    <row r="61" spans="1:46" s="136" customFormat="1" ht="14.25" customHeight="1" x14ac:dyDescent="0.15">
      <c r="B61" s="485" t="s">
        <v>8</v>
      </c>
      <c r="C61" s="485"/>
      <c r="D61" s="485"/>
      <c r="E61" s="485"/>
      <c r="F61" s="485" t="str">
        <f t="shared" si="4"/>
        <v/>
      </c>
      <c r="G61" s="486"/>
      <c r="H61" s="139" t="s">
        <v>15</v>
      </c>
      <c r="I61" s="334" t="str">
        <f t="shared" si="5"/>
        <v/>
      </c>
      <c r="J61" s="335"/>
      <c r="K61" s="335"/>
      <c r="L61" s="335"/>
      <c r="M61" s="134" t="s">
        <v>16</v>
      </c>
      <c r="N61" s="334" t="str">
        <f t="shared" si="6"/>
        <v/>
      </c>
      <c r="O61" s="335"/>
      <c r="P61" s="335"/>
      <c r="Q61" s="335"/>
      <c r="R61" s="140" t="s">
        <v>16</v>
      </c>
      <c r="S61" s="508" t="str">
        <f t="shared" si="7"/>
        <v>以降</v>
      </c>
      <c r="T61" s="509"/>
      <c r="U61" s="334" t="str">
        <f t="shared" si="8"/>
        <v/>
      </c>
      <c r="V61" s="335"/>
      <c r="W61" s="335"/>
      <c r="X61" s="335"/>
      <c r="Y61" s="134" t="s">
        <v>16</v>
      </c>
      <c r="Z61" s="511" t="str">
        <f t="shared" si="9"/>
        <v>0</v>
      </c>
      <c r="AA61" s="511"/>
      <c r="AB61" s="511"/>
      <c r="AC61" s="512"/>
      <c r="AD61" s="134" t="s">
        <v>16</v>
      </c>
      <c r="AE61" s="334">
        <f>税率登録シート!D28</f>
        <v>430000</v>
      </c>
      <c r="AF61" s="335"/>
      <c r="AG61" s="335"/>
      <c r="AH61" s="335"/>
      <c r="AI61" s="134" t="s">
        <v>16</v>
      </c>
      <c r="AJ61" s="511" t="str">
        <f t="shared" si="10"/>
        <v>0</v>
      </c>
      <c r="AK61" s="511"/>
      <c r="AL61" s="511"/>
      <c r="AM61" s="512"/>
      <c r="AN61" s="134" t="s">
        <v>16</v>
      </c>
      <c r="AP61" s="125"/>
      <c r="AQ61" s="125"/>
      <c r="AR61" s="125"/>
      <c r="AS61" s="141"/>
    </row>
    <row r="62" spans="1:46" s="136" customFormat="1" ht="14.25" customHeight="1" x14ac:dyDescent="0.15">
      <c r="B62" s="485" t="s">
        <v>9</v>
      </c>
      <c r="C62" s="485"/>
      <c r="D62" s="485"/>
      <c r="E62" s="485"/>
      <c r="F62" s="485" t="str">
        <f t="shared" si="4"/>
        <v/>
      </c>
      <c r="G62" s="486"/>
      <c r="H62" s="139" t="s">
        <v>15</v>
      </c>
      <c r="I62" s="334" t="str">
        <f t="shared" si="5"/>
        <v/>
      </c>
      <c r="J62" s="335"/>
      <c r="K62" s="335"/>
      <c r="L62" s="335"/>
      <c r="M62" s="134" t="s">
        <v>16</v>
      </c>
      <c r="N62" s="334" t="str">
        <f t="shared" si="6"/>
        <v/>
      </c>
      <c r="O62" s="335"/>
      <c r="P62" s="335"/>
      <c r="Q62" s="335"/>
      <c r="R62" s="140" t="s">
        <v>16</v>
      </c>
      <c r="S62" s="508" t="str">
        <f t="shared" si="7"/>
        <v>以降</v>
      </c>
      <c r="T62" s="509"/>
      <c r="U62" s="334" t="str">
        <f t="shared" si="8"/>
        <v/>
      </c>
      <c r="V62" s="335"/>
      <c r="W62" s="335"/>
      <c r="X62" s="335"/>
      <c r="Y62" s="134" t="s">
        <v>16</v>
      </c>
      <c r="Z62" s="511" t="str">
        <f t="shared" si="9"/>
        <v>0</v>
      </c>
      <c r="AA62" s="511"/>
      <c r="AB62" s="511"/>
      <c r="AC62" s="512"/>
      <c r="AD62" s="134" t="s">
        <v>16</v>
      </c>
      <c r="AE62" s="334">
        <f>税率登録シート!D28</f>
        <v>430000</v>
      </c>
      <c r="AF62" s="335"/>
      <c r="AG62" s="335"/>
      <c r="AH62" s="335"/>
      <c r="AI62" s="134" t="s">
        <v>16</v>
      </c>
      <c r="AJ62" s="511" t="str">
        <f t="shared" si="10"/>
        <v>0</v>
      </c>
      <c r="AK62" s="511"/>
      <c r="AL62" s="511"/>
      <c r="AM62" s="512"/>
      <c r="AN62" s="134" t="s">
        <v>16</v>
      </c>
      <c r="AP62" s="125"/>
      <c r="AQ62" s="125"/>
      <c r="AR62" s="125"/>
      <c r="AS62" s="141"/>
    </row>
    <row r="63" spans="1:46" s="136" customFormat="1" ht="14.25" customHeight="1" x14ac:dyDescent="0.15">
      <c r="B63" s="485" t="s">
        <v>10</v>
      </c>
      <c r="C63" s="485"/>
      <c r="D63" s="485"/>
      <c r="E63" s="485"/>
      <c r="F63" s="485" t="str">
        <f t="shared" si="4"/>
        <v/>
      </c>
      <c r="G63" s="486"/>
      <c r="H63" s="139" t="s">
        <v>15</v>
      </c>
      <c r="I63" s="334" t="str">
        <f t="shared" si="5"/>
        <v/>
      </c>
      <c r="J63" s="335"/>
      <c r="K63" s="335"/>
      <c r="L63" s="335"/>
      <c r="M63" s="134" t="s">
        <v>16</v>
      </c>
      <c r="N63" s="334" t="str">
        <f t="shared" si="6"/>
        <v/>
      </c>
      <c r="O63" s="335"/>
      <c r="P63" s="335"/>
      <c r="Q63" s="335"/>
      <c r="R63" s="140" t="s">
        <v>16</v>
      </c>
      <c r="S63" s="508" t="str">
        <f t="shared" si="7"/>
        <v>以降</v>
      </c>
      <c r="T63" s="509"/>
      <c r="U63" s="334" t="str">
        <f t="shared" si="8"/>
        <v/>
      </c>
      <c r="V63" s="335"/>
      <c r="W63" s="335"/>
      <c r="X63" s="335"/>
      <c r="Y63" s="134" t="s">
        <v>16</v>
      </c>
      <c r="Z63" s="511" t="str">
        <f t="shared" si="9"/>
        <v>0</v>
      </c>
      <c r="AA63" s="511"/>
      <c r="AB63" s="511"/>
      <c r="AC63" s="512"/>
      <c r="AD63" s="134" t="s">
        <v>16</v>
      </c>
      <c r="AE63" s="334">
        <f>税率登録シート!D28</f>
        <v>430000</v>
      </c>
      <c r="AF63" s="335"/>
      <c r="AG63" s="335"/>
      <c r="AH63" s="335"/>
      <c r="AI63" s="134" t="s">
        <v>16</v>
      </c>
      <c r="AJ63" s="511" t="str">
        <f t="shared" si="10"/>
        <v>0</v>
      </c>
      <c r="AK63" s="511"/>
      <c r="AL63" s="511"/>
      <c r="AM63" s="512"/>
      <c r="AN63" s="134" t="s">
        <v>16</v>
      </c>
      <c r="AP63" s="125"/>
      <c r="AQ63" s="125"/>
      <c r="AR63" s="125"/>
      <c r="AS63" s="141"/>
    </row>
    <row r="64" spans="1:46" s="136" customFormat="1" ht="14.25" customHeight="1" x14ac:dyDescent="0.15">
      <c r="B64" s="485" t="s">
        <v>11</v>
      </c>
      <c r="C64" s="485"/>
      <c r="D64" s="485"/>
      <c r="E64" s="485"/>
      <c r="F64" s="485" t="str">
        <f t="shared" si="4"/>
        <v/>
      </c>
      <c r="G64" s="486"/>
      <c r="H64" s="139" t="s">
        <v>15</v>
      </c>
      <c r="I64" s="334" t="str">
        <f t="shared" si="5"/>
        <v/>
      </c>
      <c r="J64" s="335"/>
      <c r="K64" s="335"/>
      <c r="L64" s="335"/>
      <c r="M64" s="134" t="s">
        <v>16</v>
      </c>
      <c r="N64" s="334" t="str">
        <f t="shared" si="6"/>
        <v/>
      </c>
      <c r="O64" s="335"/>
      <c r="P64" s="335"/>
      <c r="Q64" s="335"/>
      <c r="R64" s="140" t="s">
        <v>16</v>
      </c>
      <c r="S64" s="508" t="str">
        <f t="shared" si="7"/>
        <v>以降</v>
      </c>
      <c r="T64" s="509"/>
      <c r="U64" s="334" t="str">
        <f t="shared" si="8"/>
        <v/>
      </c>
      <c r="V64" s="335"/>
      <c r="W64" s="335"/>
      <c r="X64" s="335"/>
      <c r="Y64" s="134" t="s">
        <v>16</v>
      </c>
      <c r="Z64" s="511" t="str">
        <f t="shared" si="9"/>
        <v>0</v>
      </c>
      <c r="AA64" s="511"/>
      <c r="AB64" s="511"/>
      <c r="AC64" s="512"/>
      <c r="AD64" s="134" t="s">
        <v>16</v>
      </c>
      <c r="AE64" s="334">
        <f>税率登録シート!D28</f>
        <v>430000</v>
      </c>
      <c r="AF64" s="335"/>
      <c r="AG64" s="335"/>
      <c r="AH64" s="335"/>
      <c r="AI64" s="134" t="s">
        <v>16</v>
      </c>
      <c r="AJ64" s="511" t="str">
        <f t="shared" si="10"/>
        <v>0</v>
      </c>
      <c r="AK64" s="511"/>
      <c r="AL64" s="511"/>
      <c r="AM64" s="512"/>
      <c r="AN64" s="134" t="s">
        <v>16</v>
      </c>
      <c r="AP64" s="125"/>
      <c r="AQ64" s="125"/>
      <c r="AR64" s="125"/>
      <c r="AS64" s="141"/>
    </row>
    <row r="65" spans="1:45" s="136" customFormat="1" ht="14.25" customHeight="1" x14ac:dyDescent="0.15">
      <c r="B65" s="599" t="str">
        <f>IF(F41="","擬主なし",Z41)</f>
        <v>擬主なし</v>
      </c>
      <c r="C65" s="600"/>
      <c r="D65" s="600"/>
      <c r="E65" s="601"/>
      <c r="F65" s="485" t="str">
        <f>IF(F41="","",F41)</f>
        <v/>
      </c>
      <c r="G65" s="486"/>
      <c r="H65" s="139" t="s">
        <v>15</v>
      </c>
      <c r="I65" s="334" t="str">
        <f>IF(I41="","",I41)</f>
        <v/>
      </c>
      <c r="J65" s="335"/>
      <c r="K65" s="335"/>
      <c r="L65" s="335"/>
      <c r="M65" s="134" t="s">
        <v>16</v>
      </c>
      <c r="N65" s="334" t="str">
        <f>IF(N41="","",N41)</f>
        <v/>
      </c>
      <c r="O65" s="335"/>
      <c r="P65" s="335"/>
      <c r="Q65" s="335"/>
      <c r="R65" s="140" t="s">
        <v>16</v>
      </c>
      <c r="S65" s="508" t="str">
        <f>S41</f>
        <v>以前</v>
      </c>
      <c r="T65" s="509"/>
      <c r="U65" s="334" t="str">
        <f>IF(U41="","",U41)</f>
        <v/>
      </c>
      <c r="V65" s="335"/>
      <c r="W65" s="335"/>
      <c r="X65" s="335"/>
      <c r="Y65" s="134" t="s">
        <v>16</v>
      </c>
      <c r="Z65" s="142"/>
      <c r="AA65" s="143"/>
      <c r="AB65" s="143"/>
      <c r="AC65" s="143"/>
      <c r="AD65" s="143"/>
      <c r="AE65" s="144"/>
      <c r="AF65" s="145"/>
      <c r="AG65" s="145"/>
      <c r="AH65" s="145"/>
      <c r="AI65" s="146"/>
      <c r="AK65" s="133"/>
      <c r="AL65" s="133"/>
      <c r="AM65" s="133"/>
    </row>
    <row r="66" spans="1:45" ht="14.25" customHeight="1" x14ac:dyDescent="0.15">
      <c r="A66" s="136"/>
      <c r="B66" s="487" t="s">
        <v>48</v>
      </c>
      <c r="C66" s="487"/>
      <c r="D66" s="487"/>
      <c r="E66" s="487"/>
      <c r="F66" s="485" t="str">
        <f>IF(F48="","",F48)</f>
        <v/>
      </c>
      <c r="G66" s="486"/>
      <c r="H66" s="139" t="s">
        <v>15</v>
      </c>
      <c r="I66" s="334" t="str">
        <f>IF(I48="","",I48)</f>
        <v/>
      </c>
      <c r="J66" s="335"/>
      <c r="K66" s="335"/>
      <c r="L66" s="335"/>
      <c r="M66" s="134" t="s">
        <v>16</v>
      </c>
      <c r="N66" s="334" t="str">
        <f>IF(N48="","",N48)</f>
        <v/>
      </c>
      <c r="O66" s="335"/>
      <c r="P66" s="335"/>
      <c r="Q66" s="335"/>
      <c r="R66" s="140" t="s">
        <v>16</v>
      </c>
      <c r="S66" s="508" t="str">
        <f>S48</f>
        <v>以前</v>
      </c>
      <c r="T66" s="509"/>
      <c r="U66" s="334" t="str">
        <f>IF(U48="","",U48)</f>
        <v/>
      </c>
      <c r="V66" s="335"/>
      <c r="W66" s="335"/>
      <c r="X66" s="335"/>
      <c r="Y66" s="134" t="s">
        <v>16</v>
      </c>
      <c r="Z66" s="146"/>
      <c r="AA66" s="146"/>
      <c r="AB66" s="146"/>
      <c r="AC66" s="146"/>
      <c r="AD66" s="146"/>
      <c r="AE66" s="145"/>
      <c r="AF66" s="145"/>
      <c r="AG66" s="145"/>
      <c r="AH66" s="145"/>
      <c r="AI66" s="146"/>
      <c r="AJ66" s="145"/>
      <c r="AK66" s="145"/>
      <c r="AL66" s="145"/>
      <c r="AM66" s="145"/>
      <c r="AN66" s="146"/>
      <c r="AO66" s="136"/>
      <c r="AQ66" s="125"/>
    </row>
    <row r="67" spans="1:45" ht="14.25" customHeight="1" x14ac:dyDescent="0.15">
      <c r="A67" s="136"/>
      <c r="B67" s="487" t="s">
        <v>49</v>
      </c>
      <c r="C67" s="487"/>
      <c r="D67" s="487"/>
      <c r="E67" s="487"/>
      <c r="F67" s="485" t="str">
        <f>IF(F49="","",F49)</f>
        <v/>
      </c>
      <c r="G67" s="486"/>
      <c r="H67" s="139" t="s">
        <v>15</v>
      </c>
      <c r="I67" s="334" t="str">
        <f>IF(I49="","",I49)</f>
        <v/>
      </c>
      <c r="J67" s="335"/>
      <c r="K67" s="335"/>
      <c r="L67" s="335"/>
      <c r="M67" s="134" t="s">
        <v>16</v>
      </c>
      <c r="N67" s="334" t="str">
        <f>IF(N49="","",N49)</f>
        <v/>
      </c>
      <c r="O67" s="335"/>
      <c r="P67" s="335"/>
      <c r="Q67" s="335"/>
      <c r="R67" s="140" t="s">
        <v>16</v>
      </c>
      <c r="S67" s="508" t="str">
        <f>S49</f>
        <v>以前</v>
      </c>
      <c r="T67" s="509"/>
      <c r="U67" s="334" t="str">
        <f>IF(U49="","",U49)</f>
        <v/>
      </c>
      <c r="V67" s="335"/>
      <c r="W67" s="335"/>
      <c r="X67" s="335"/>
      <c r="Y67" s="134" t="s">
        <v>16</v>
      </c>
      <c r="Z67" s="146"/>
      <c r="AA67" s="146"/>
      <c r="AB67" s="146"/>
      <c r="AC67" s="146"/>
      <c r="AD67" s="146"/>
      <c r="AE67" s="145"/>
      <c r="AF67" s="145"/>
      <c r="AG67" s="145"/>
      <c r="AH67" s="145"/>
      <c r="AI67" s="146"/>
      <c r="AJ67" s="145"/>
      <c r="AK67" s="145"/>
      <c r="AL67" s="145"/>
      <c r="AM67" s="145"/>
      <c r="AN67" s="146"/>
      <c r="AO67" s="136"/>
      <c r="AQ67" s="125"/>
    </row>
    <row r="68" spans="1:45" ht="14.25" customHeight="1" x14ac:dyDescent="0.15">
      <c r="A68" s="136"/>
      <c r="B68" s="487" t="s">
        <v>50</v>
      </c>
      <c r="C68" s="487"/>
      <c r="D68" s="487"/>
      <c r="E68" s="487"/>
      <c r="F68" s="485" t="str">
        <f>IF(F50="","",F50)</f>
        <v/>
      </c>
      <c r="G68" s="486"/>
      <c r="H68" s="139" t="s">
        <v>15</v>
      </c>
      <c r="I68" s="334" t="str">
        <f>IF(I50="","",I50)</f>
        <v/>
      </c>
      <c r="J68" s="335"/>
      <c r="K68" s="335"/>
      <c r="L68" s="335"/>
      <c r="M68" s="134" t="s">
        <v>16</v>
      </c>
      <c r="N68" s="334" t="str">
        <f>IF(N50="","",N50)</f>
        <v/>
      </c>
      <c r="O68" s="335"/>
      <c r="P68" s="335"/>
      <c r="Q68" s="335"/>
      <c r="R68" s="140" t="s">
        <v>16</v>
      </c>
      <c r="S68" s="508" t="str">
        <f>S50</f>
        <v>以前</v>
      </c>
      <c r="T68" s="509"/>
      <c r="U68" s="334" t="str">
        <f>IF(U50="","",U50)</f>
        <v/>
      </c>
      <c r="V68" s="335"/>
      <c r="W68" s="335"/>
      <c r="X68" s="335"/>
      <c r="Y68" s="134" t="s">
        <v>16</v>
      </c>
      <c r="Z68" s="148"/>
      <c r="AA68" s="146"/>
      <c r="AB68" s="146"/>
      <c r="AC68" s="146"/>
      <c r="AD68" s="146"/>
      <c r="AE68" s="145"/>
      <c r="AF68" s="145"/>
      <c r="AG68" s="145"/>
      <c r="AH68" s="145"/>
      <c r="AI68" s="146"/>
      <c r="AJ68" s="145"/>
      <c r="AK68" s="145"/>
      <c r="AL68" s="145"/>
      <c r="AM68" s="145"/>
      <c r="AN68" s="146"/>
      <c r="AO68" s="136"/>
      <c r="AQ68" s="125"/>
    </row>
    <row r="69" spans="1:45" s="149" customFormat="1" ht="16.5" customHeight="1" x14ac:dyDescent="0.15">
      <c r="B69" s="150" t="s">
        <v>67</v>
      </c>
      <c r="AP69" s="151"/>
      <c r="AQ69" s="151"/>
      <c r="AR69" s="151"/>
      <c r="AS69" s="152"/>
    </row>
    <row r="70" spans="1:45" s="151" customFormat="1" ht="16.5" customHeight="1" x14ac:dyDescent="0.15">
      <c r="A70" s="130"/>
      <c r="B70" s="131" t="s">
        <v>99</v>
      </c>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L70" s="130"/>
      <c r="AM70" s="130"/>
      <c r="AN70" s="130"/>
      <c r="AO70" s="130"/>
    </row>
    <row r="71" spans="1:45" s="149" customFormat="1" ht="9" customHeight="1" thickBot="1" x14ac:dyDescent="0.2">
      <c r="A71" s="124"/>
      <c r="B71" s="127"/>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51"/>
      <c r="AQ71" s="151"/>
      <c r="AR71" s="151"/>
      <c r="AS71" s="152"/>
    </row>
    <row r="72" spans="1:45" s="149" customFormat="1" ht="27" customHeight="1" thickBot="1" x14ac:dyDescent="0.2">
      <c r="B72" s="592" t="s">
        <v>73</v>
      </c>
      <c r="C72" s="593"/>
      <c r="D72" s="593"/>
      <c r="E72" s="593"/>
      <c r="F72" s="593"/>
      <c r="G72" s="593"/>
      <c r="H72" s="594"/>
      <c r="I72" s="395" t="s">
        <v>74</v>
      </c>
      <c r="J72" s="396"/>
      <c r="K72" s="595" t="s">
        <v>159</v>
      </c>
      <c r="L72" s="596"/>
      <c r="M72" s="596"/>
      <c r="N72" s="596"/>
      <c r="O72" s="596"/>
      <c r="P72" s="596"/>
      <c r="Q72" s="596"/>
      <c r="R72" s="597"/>
      <c r="S72" s="395" t="s">
        <v>75</v>
      </c>
      <c r="T72" s="396"/>
      <c r="U72" s="513" t="s">
        <v>158</v>
      </c>
      <c r="V72" s="514"/>
      <c r="W72" s="514"/>
      <c r="X72" s="514"/>
      <c r="Y72" s="514"/>
      <c r="Z72" s="514"/>
      <c r="AA72" s="514"/>
      <c r="AB72" s="515"/>
      <c r="AC72" s="395" t="s">
        <v>76</v>
      </c>
      <c r="AD72" s="396"/>
      <c r="AE72" s="392" t="s">
        <v>160</v>
      </c>
      <c r="AF72" s="393"/>
      <c r="AG72" s="393"/>
      <c r="AH72" s="393"/>
      <c r="AI72" s="393"/>
      <c r="AJ72" s="393"/>
      <c r="AK72" s="393"/>
      <c r="AL72" s="394"/>
      <c r="AP72" s="151"/>
      <c r="AQ72" s="151"/>
      <c r="AR72" s="151"/>
      <c r="AS72" s="152"/>
    </row>
    <row r="73" spans="1:45" s="149" customFormat="1" ht="9" customHeight="1" thickBot="1" x14ac:dyDescent="0.2">
      <c r="B73" s="150"/>
      <c r="AP73" s="151"/>
      <c r="AQ73" s="151"/>
      <c r="AR73" s="151"/>
      <c r="AS73" s="152"/>
    </row>
    <row r="74" spans="1:45" ht="23.25" customHeight="1" x14ac:dyDescent="0.15">
      <c r="A74" s="136"/>
      <c r="B74" s="488"/>
      <c r="C74" s="489"/>
      <c r="D74" s="489"/>
      <c r="E74" s="489"/>
      <c r="F74" s="489"/>
      <c r="G74" s="489"/>
      <c r="H74" s="489"/>
      <c r="I74" s="457" t="s">
        <v>23</v>
      </c>
      <c r="J74" s="457"/>
      <c r="K74" s="457"/>
      <c r="L74" s="457"/>
      <c r="M74" s="457"/>
      <c r="N74" s="457"/>
      <c r="O74" s="457"/>
      <c r="P74" s="457"/>
      <c r="Q74" s="457"/>
      <c r="R74" s="457"/>
      <c r="S74" s="510" t="s">
        <v>113</v>
      </c>
      <c r="T74" s="510"/>
      <c r="U74" s="510"/>
      <c r="V74" s="510"/>
      <c r="W74" s="510"/>
      <c r="X74" s="510"/>
      <c r="Y74" s="510"/>
      <c r="Z74" s="510"/>
      <c r="AA74" s="510"/>
      <c r="AB74" s="510"/>
      <c r="AC74" s="468" t="s">
        <v>24</v>
      </c>
      <c r="AD74" s="468"/>
      <c r="AE74" s="468"/>
      <c r="AF74" s="468"/>
      <c r="AG74" s="468"/>
      <c r="AH74" s="468"/>
      <c r="AI74" s="468"/>
      <c r="AJ74" s="468"/>
      <c r="AK74" s="468"/>
      <c r="AL74" s="469"/>
      <c r="AM74" s="136"/>
      <c r="AN74" s="136"/>
      <c r="AO74" s="136"/>
    </row>
    <row r="75" spans="1:45" ht="19.5" customHeight="1" x14ac:dyDescent="0.15">
      <c r="A75" s="136"/>
      <c r="B75" s="475" t="s">
        <v>100</v>
      </c>
      <c r="C75" s="476"/>
      <c r="D75" s="476"/>
      <c r="E75" s="476"/>
      <c r="F75" s="476"/>
      <c r="G75" s="476"/>
      <c r="H75" s="477"/>
      <c r="I75" s="565">
        <f>IF(税額計算!B7="","",税額計算!B7)</f>
        <v>0</v>
      </c>
      <c r="J75" s="566"/>
      <c r="K75" s="566"/>
      <c r="L75" s="566"/>
      <c r="M75" s="566"/>
      <c r="N75" s="566"/>
      <c r="O75" s="566"/>
      <c r="P75" s="566"/>
      <c r="Q75" s="567" t="s">
        <v>66</v>
      </c>
      <c r="R75" s="568"/>
      <c r="S75" s="565">
        <f>IF(税額計算!B25="","",税額計算!B25)</f>
        <v>0</v>
      </c>
      <c r="T75" s="566"/>
      <c r="U75" s="566"/>
      <c r="V75" s="566"/>
      <c r="W75" s="566"/>
      <c r="X75" s="566"/>
      <c r="Y75" s="566"/>
      <c r="Z75" s="566"/>
      <c r="AA75" s="567" t="s">
        <v>66</v>
      </c>
      <c r="AB75" s="568"/>
      <c r="AC75" s="565">
        <f>IF(税額計算!B43="","",税額計算!B43)</f>
        <v>0</v>
      </c>
      <c r="AD75" s="566"/>
      <c r="AE75" s="566"/>
      <c r="AF75" s="566"/>
      <c r="AG75" s="566"/>
      <c r="AH75" s="566"/>
      <c r="AI75" s="566"/>
      <c r="AJ75" s="566"/>
      <c r="AK75" s="567" t="s">
        <v>66</v>
      </c>
      <c r="AL75" s="589"/>
      <c r="AM75" s="136"/>
      <c r="AN75" s="136"/>
      <c r="AO75" s="136"/>
    </row>
    <row r="76" spans="1:45" ht="19.5" customHeight="1" x14ac:dyDescent="0.15">
      <c r="A76" s="136"/>
      <c r="B76" s="475" t="s">
        <v>71</v>
      </c>
      <c r="C76" s="476"/>
      <c r="D76" s="476"/>
      <c r="E76" s="476"/>
      <c r="F76" s="476"/>
      <c r="G76" s="476"/>
      <c r="H76" s="477"/>
      <c r="I76" s="464">
        <f>税率登録シート!D6</f>
        <v>660000</v>
      </c>
      <c r="J76" s="465"/>
      <c r="K76" s="465"/>
      <c r="L76" s="465"/>
      <c r="M76" s="465"/>
      <c r="N76" s="465"/>
      <c r="O76" s="465"/>
      <c r="P76" s="465"/>
      <c r="Q76" s="465"/>
      <c r="R76" s="466"/>
      <c r="S76" s="464">
        <f>税率登録シート!D7</f>
        <v>260000</v>
      </c>
      <c r="T76" s="465"/>
      <c r="U76" s="465"/>
      <c r="V76" s="465"/>
      <c r="W76" s="465"/>
      <c r="X76" s="465"/>
      <c r="Y76" s="465"/>
      <c r="Z76" s="465"/>
      <c r="AA76" s="465"/>
      <c r="AB76" s="466"/>
      <c r="AC76" s="464">
        <f>税率登録シート!D8</f>
        <v>170000</v>
      </c>
      <c r="AD76" s="465"/>
      <c r="AE76" s="465"/>
      <c r="AF76" s="465"/>
      <c r="AG76" s="465"/>
      <c r="AH76" s="465"/>
      <c r="AI76" s="465"/>
      <c r="AJ76" s="465"/>
      <c r="AK76" s="465"/>
      <c r="AL76" s="590"/>
      <c r="AM76" s="136"/>
      <c r="AN76" s="136"/>
      <c r="AO76" s="136"/>
    </row>
    <row r="77" spans="1:45" ht="16.5" customHeight="1" x14ac:dyDescent="0.15">
      <c r="A77" s="136"/>
      <c r="B77" s="413" t="s">
        <v>77</v>
      </c>
      <c r="C77" s="414"/>
      <c r="D77" s="414"/>
      <c r="E77" s="414"/>
      <c r="F77" s="415"/>
      <c r="G77" s="436" t="s">
        <v>51</v>
      </c>
      <c r="H77" s="436"/>
      <c r="I77" s="458" t="str">
        <f>"課税所得金額×"&amp;TEXT(税率登録シート!G17,"#.#0%")</f>
        <v>課税所得金額×8.80%</v>
      </c>
      <c r="J77" s="459"/>
      <c r="K77" s="459"/>
      <c r="L77" s="459"/>
      <c r="M77" s="459"/>
      <c r="N77" s="459"/>
      <c r="O77" s="459"/>
      <c r="P77" s="459"/>
      <c r="Q77" s="459"/>
      <c r="R77" s="460"/>
      <c r="S77" s="458" t="str">
        <f>"課税所得金額×"&amp;TEXT(税率登録シート!G20,"#.#0%")</f>
        <v>課税所得金額×3.10%</v>
      </c>
      <c r="T77" s="459"/>
      <c r="U77" s="459"/>
      <c r="V77" s="459"/>
      <c r="W77" s="459"/>
      <c r="X77" s="459"/>
      <c r="Y77" s="459"/>
      <c r="Z77" s="459"/>
      <c r="AA77" s="459"/>
      <c r="AB77" s="460"/>
      <c r="AC77" s="458" t="str">
        <f>"課税所得金額×"&amp;TEXT(税率登録シート!G23,"#.#0%")</f>
        <v>課税所得金額×2.60%</v>
      </c>
      <c r="AD77" s="459"/>
      <c r="AE77" s="459"/>
      <c r="AF77" s="459"/>
      <c r="AG77" s="459"/>
      <c r="AH77" s="459"/>
      <c r="AI77" s="459"/>
      <c r="AJ77" s="459"/>
      <c r="AK77" s="459"/>
      <c r="AL77" s="571"/>
      <c r="AM77" s="136"/>
      <c r="AN77" s="136"/>
      <c r="AO77" s="136"/>
    </row>
    <row r="78" spans="1:45" ht="16.5" customHeight="1" thickBot="1" x14ac:dyDescent="0.2">
      <c r="A78" s="136"/>
      <c r="B78" s="395"/>
      <c r="C78" s="396"/>
      <c r="D78" s="396"/>
      <c r="E78" s="396"/>
      <c r="F78" s="416"/>
      <c r="G78" s="471" t="s">
        <v>69</v>
      </c>
      <c r="H78" s="472"/>
      <c r="I78" s="422">
        <f>IF(税額計算!E18="","",税額計算!E18)</f>
        <v>0</v>
      </c>
      <c r="J78" s="423"/>
      <c r="K78" s="423"/>
      <c r="L78" s="423"/>
      <c r="M78" s="423"/>
      <c r="N78" s="423"/>
      <c r="O78" s="153" t="s">
        <v>111</v>
      </c>
      <c r="P78" s="579">
        <f>税率登録シート!G17</f>
        <v>8.7999999999999995E-2</v>
      </c>
      <c r="Q78" s="579"/>
      <c r="R78" s="580"/>
      <c r="S78" s="422">
        <f>IF(税額計算!E36="","",税額計算!E36)</f>
        <v>0</v>
      </c>
      <c r="T78" s="423"/>
      <c r="U78" s="423"/>
      <c r="V78" s="423"/>
      <c r="W78" s="423"/>
      <c r="X78" s="423"/>
      <c r="Y78" s="153" t="s">
        <v>111</v>
      </c>
      <c r="Z78" s="420">
        <f>税率登録シート!G20</f>
        <v>3.1E-2</v>
      </c>
      <c r="AA78" s="420"/>
      <c r="AB78" s="421"/>
      <c r="AC78" s="422">
        <f>IF(税額計算!E54="","",税額計算!E54)</f>
        <v>0</v>
      </c>
      <c r="AD78" s="423"/>
      <c r="AE78" s="423"/>
      <c r="AF78" s="423"/>
      <c r="AG78" s="423"/>
      <c r="AH78" s="423"/>
      <c r="AI78" s="153" t="s">
        <v>111</v>
      </c>
      <c r="AJ78" s="420">
        <f>税率登録シート!G23</f>
        <v>2.5999999999999999E-2</v>
      </c>
      <c r="AK78" s="420"/>
      <c r="AL78" s="478"/>
      <c r="AM78" s="136"/>
      <c r="AN78" s="136"/>
      <c r="AO78" s="136"/>
    </row>
    <row r="79" spans="1:45" ht="16.5" customHeight="1" thickBot="1" x14ac:dyDescent="0.2">
      <c r="A79" s="136"/>
      <c r="B79" s="417"/>
      <c r="C79" s="418"/>
      <c r="D79" s="418"/>
      <c r="E79" s="418"/>
      <c r="F79" s="419"/>
      <c r="G79" s="473"/>
      <c r="H79" s="474"/>
      <c r="I79" s="461">
        <f>IF(I75&lt;0,"0",ROUNDDOWN(I78*P78,0))</f>
        <v>0</v>
      </c>
      <c r="J79" s="462"/>
      <c r="K79" s="462"/>
      <c r="L79" s="462"/>
      <c r="M79" s="462"/>
      <c r="N79" s="462"/>
      <c r="O79" s="462"/>
      <c r="P79" s="462"/>
      <c r="Q79" s="462"/>
      <c r="R79" s="463"/>
      <c r="S79" s="544">
        <f>IF(S78&lt;0,"0",ROUNDDOWN(S78*Z78,0))</f>
        <v>0</v>
      </c>
      <c r="T79" s="462"/>
      <c r="U79" s="462"/>
      <c r="V79" s="462"/>
      <c r="W79" s="462"/>
      <c r="X79" s="462"/>
      <c r="Y79" s="462"/>
      <c r="Z79" s="462"/>
      <c r="AA79" s="462"/>
      <c r="AB79" s="463"/>
      <c r="AC79" s="544">
        <f>IF(AC78&lt;0,"0",ROUNDDOWN(AC78*AJ78,0))</f>
        <v>0</v>
      </c>
      <c r="AD79" s="462"/>
      <c r="AE79" s="462"/>
      <c r="AF79" s="462"/>
      <c r="AG79" s="462"/>
      <c r="AH79" s="462"/>
      <c r="AI79" s="462"/>
      <c r="AJ79" s="462"/>
      <c r="AK79" s="462"/>
      <c r="AL79" s="545"/>
      <c r="AM79" s="136"/>
      <c r="AN79" s="136"/>
      <c r="AO79" s="136"/>
    </row>
    <row r="80" spans="1:45" ht="16.5" customHeight="1" x14ac:dyDescent="0.15">
      <c r="A80" s="136"/>
      <c r="B80" s="413" t="s">
        <v>70</v>
      </c>
      <c r="C80" s="414"/>
      <c r="D80" s="414"/>
      <c r="E80" s="414"/>
      <c r="F80" s="415"/>
      <c r="G80" s="436" t="s">
        <v>51</v>
      </c>
      <c r="H80" s="436"/>
      <c r="I80" s="572" t="str">
        <f>TEXT(税率登録シート!G18,"#,##0円")&amp;"×加入者数"</f>
        <v>26,400円×加入者数</v>
      </c>
      <c r="J80" s="573"/>
      <c r="K80" s="573"/>
      <c r="L80" s="573"/>
      <c r="M80" s="573"/>
      <c r="N80" s="573"/>
      <c r="O80" s="573"/>
      <c r="P80" s="573"/>
      <c r="Q80" s="573"/>
      <c r="R80" s="577"/>
      <c r="S80" s="572" t="str">
        <f>TEXT(税率登録シート!G21,"#,##0円")&amp;"×加入者数"</f>
        <v>9,500円×加入者数</v>
      </c>
      <c r="T80" s="573"/>
      <c r="U80" s="573"/>
      <c r="V80" s="573"/>
      <c r="W80" s="573"/>
      <c r="X80" s="573"/>
      <c r="Y80" s="573"/>
      <c r="Z80" s="573"/>
      <c r="AA80" s="573"/>
      <c r="AB80" s="577"/>
      <c r="AC80" s="572" t="str">
        <f>TEXT(税率登録シート!G24,"#,##0円")&amp;"×加入者数"</f>
        <v>9,800円×加入者数</v>
      </c>
      <c r="AD80" s="573"/>
      <c r="AE80" s="573"/>
      <c r="AF80" s="573"/>
      <c r="AG80" s="573"/>
      <c r="AH80" s="573"/>
      <c r="AI80" s="573"/>
      <c r="AJ80" s="573"/>
      <c r="AK80" s="573"/>
      <c r="AL80" s="574"/>
      <c r="AM80" s="136"/>
      <c r="AN80" s="136"/>
      <c r="AO80" s="136"/>
    </row>
    <row r="81" spans="1:46" ht="22.5" customHeight="1" thickBot="1" x14ac:dyDescent="0.2">
      <c r="A81" s="136"/>
      <c r="B81" s="395"/>
      <c r="C81" s="396"/>
      <c r="D81" s="396"/>
      <c r="E81" s="396"/>
      <c r="F81" s="416"/>
      <c r="G81" s="471" t="s">
        <v>69</v>
      </c>
      <c r="H81" s="472"/>
      <c r="I81" s="561">
        <f>IF(I75="","",IF(税額計算!H5="■",税率登録シート!G18*0.3,IF(税額計算!H6="■",税率登録シート!G18*0.5,IF(税額計算!H7="■",税率登録シート!G18*0.8,税率登録シート!G18))))</f>
        <v>7920</v>
      </c>
      <c r="J81" s="562"/>
      <c r="K81" s="562"/>
      <c r="L81" s="562"/>
      <c r="M81" s="153" t="s">
        <v>111</v>
      </c>
      <c r="N81" s="308">
        <f>IF(税額計算!B7="","",税額計算!B7)</f>
        <v>0</v>
      </c>
      <c r="O81" s="309" t="s">
        <v>184</v>
      </c>
      <c r="P81" s="575" t="str">
        <f>IF(税額計算!B7="","",IF(税額計算!B8=0,"","(未就学児"&amp;CHAR(10)&amp;税額計算!B8&amp;")"))</f>
        <v/>
      </c>
      <c r="Q81" s="575"/>
      <c r="R81" s="576"/>
      <c r="S81" s="563">
        <f>IF(S75="","",IF(税額計算!H5="■",税率登録シート!G21*0.3,IF(税額計算!H6="■",税率登録シート!G21*0.5,IF(税額計算!H7="■",税率登録シート!G21*0.8,税率登録シート!G21))))</f>
        <v>2850</v>
      </c>
      <c r="T81" s="564"/>
      <c r="U81" s="564"/>
      <c r="V81" s="564"/>
      <c r="W81" s="153" t="s">
        <v>111</v>
      </c>
      <c r="X81" s="308">
        <f>IF(税額計算!B25="","",税額計算!B25)</f>
        <v>0</v>
      </c>
      <c r="Y81" s="153" t="s">
        <v>66</v>
      </c>
      <c r="Z81" s="549" t="str">
        <f>IF(税額計算!B25="","",IF(税額計算!B26=0,"","(未就学児"&amp;CHAR(10)&amp;税額計算!B26&amp;")"))</f>
        <v/>
      </c>
      <c r="AA81" s="549"/>
      <c r="AB81" s="550"/>
      <c r="AC81" s="551">
        <f>IF(AC75="","",IF(税額計算!H5="■",税率登録シート!G24*0.3,IF(税額計算!H6="■",税率登録シート!G24*0.5,IF(税額計算!H7="■",税率登録シート!G24*0.8,税率登録シート!G24))))</f>
        <v>2940</v>
      </c>
      <c r="AD81" s="552"/>
      <c r="AE81" s="552"/>
      <c r="AF81" s="552"/>
      <c r="AG81" s="552"/>
      <c r="AH81" s="552"/>
      <c r="AI81" s="153" t="s">
        <v>112</v>
      </c>
      <c r="AJ81" s="542">
        <f>IF(税額計算!B43="","",税額計算!B43)</f>
        <v>0</v>
      </c>
      <c r="AK81" s="542"/>
      <c r="AL81" s="543"/>
      <c r="AM81" s="136"/>
      <c r="AN81" s="136"/>
      <c r="AO81" s="136"/>
    </row>
    <row r="82" spans="1:46" ht="16.5" customHeight="1" thickBot="1" x14ac:dyDescent="0.2">
      <c r="A82" s="136"/>
      <c r="B82" s="584" t="str">
        <f>CONCATENATE("",IF(税額計算!$H$4="■","",""),IF(税額計算!$H$5="■","※７割軽減",""),IF(税額計算!$H$6="■","※５割軽減",""),IF(税額計算!$H$7="■","※２割軽減",""))</f>
        <v>※７割軽減</v>
      </c>
      <c r="C82" s="585"/>
      <c r="D82" s="585"/>
      <c r="E82" s="585"/>
      <c r="F82" s="586"/>
      <c r="G82" s="473"/>
      <c r="H82" s="474"/>
      <c r="I82" s="461">
        <f>IF(I81="","",ROUNDDOWN(I81*(税額計算!B7-税額計算!B8)+I81*税額計算!B8*0.5,0))</f>
        <v>0</v>
      </c>
      <c r="J82" s="462"/>
      <c r="K82" s="462"/>
      <c r="L82" s="462"/>
      <c r="M82" s="462"/>
      <c r="N82" s="462"/>
      <c r="O82" s="462"/>
      <c r="P82" s="462"/>
      <c r="Q82" s="462"/>
      <c r="R82" s="463"/>
      <c r="S82" s="544">
        <f>IF(S81="","",ROUNDDOWN(S81*(税額計算!B25-税額計算!B26)+S81*税額計算!B26*0.5,0))</f>
        <v>0</v>
      </c>
      <c r="T82" s="462"/>
      <c r="U82" s="462"/>
      <c r="V82" s="462"/>
      <c r="W82" s="462"/>
      <c r="X82" s="462"/>
      <c r="Y82" s="462"/>
      <c r="Z82" s="462"/>
      <c r="AA82" s="462"/>
      <c r="AB82" s="463"/>
      <c r="AC82" s="544">
        <f>IF(AC81="","",ROUNDDOWN(AC81*AJ81,0))</f>
        <v>0</v>
      </c>
      <c r="AD82" s="462"/>
      <c r="AE82" s="462"/>
      <c r="AF82" s="462"/>
      <c r="AG82" s="462"/>
      <c r="AH82" s="462"/>
      <c r="AI82" s="462"/>
      <c r="AJ82" s="462"/>
      <c r="AK82" s="462"/>
      <c r="AL82" s="545"/>
      <c r="AM82" s="136"/>
      <c r="AN82" s="136"/>
      <c r="AO82" s="136"/>
    </row>
    <row r="83" spans="1:46" ht="22.5" customHeight="1" thickBot="1" x14ac:dyDescent="0.2">
      <c r="A83" s="136"/>
      <c r="B83" s="581" t="s">
        <v>78</v>
      </c>
      <c r="C83" s="582"/>
      <c r="D83" s="582"/>
      <c r="E83" s="582"/>
      <c r="F83" s="583"/>
      <c r="G83" s="436" t="s">
        <v>51</v>
      </c>
      <c r="H83" s="436"/>
      <c r="I83" s="433">
        <f>税率登録シート!G19</f>
        <v>29300</v>
      </c>
      <c r="J83" s="434"/>
      <c r="K83" s="434"/>
      <c r="L83" s="434"/>
      <c r="M83" s="434"/>
      <c r="N83" s="434"/>
      <c r="O83" s="434"/>
      <c r="P83" s="434"/>
      <c r="Q83" s="434"/>
      <c r="R83" s="435"/>
      <c r="S83" s="433">
        <f>税率登録シート!G22</f>
        <v>10500</v>
      </c>
      <c r="T83" s="434"/>
      <c r="U83" s="434"/>
      <c r="V83" s="434"/>
      <c r="W83" s="434"/>
      <c r="X83" s="434"/>
      <c r="Y83" s="434"/>
      <c r="Z83" s="434"/>
      <c r="AA83" s="434"/>
      <c r="AB83" s="435"/>
      <c r="AC83" s="433">
        <f>税率登録シート!G25</f>
        <v>7400</v>
      </c>
      <c r="AD83" s="434"/>
      <c r="AE83" s="434"/>
      <c r="AF83" s="434"/>
      <c r="AG83" s="434"/>
      <c r="AH83" s="434"/>
      <c r="AI83" s="434"/>
      <c r="AJ83" s="434"/>
      <c r="AK83" s="434"/>
      <c r="AL83" s="470"/>
      <c r="AM83" s="136"/>
      <c r="AN83" s="136"/>
      <c r="AO83" s="136"/>
    </row>
    <row r="84" spans="1:46" ht="13.5" customHeight="1" x14ac:dyDescent="0.15">
      <c r="A84" s="136"/>
      <c r="B84" s="427" t="str">
        <f>CONCATENATE("",IF(税額計算!$H$4="■","",""),IF(税額計算!$H$5="■","※７割軽減",""),IF(税額計算!$H$6="■","※５割軽減",""),IF(税額計算!$H$7="■","※２割軽減",""))</f>
        <v>※７割軽減</v>
      </c>
      <c r="C84" s="428"/>
      <c r="D84" s="428"/>
      <c r="E84" s="428"/>
      <c r="F84" s="429"/>
      <c r="G84" s="471" t="s">
        <v>69</v>
      </c>
      <c r="H84" s="578"/>
      <c r="I84" s="587">
        <f>IF(I75=0,I75,IF(AND(税額計算!J4="■",税額計算!H5="■"),ROUNDDOWN((I83*0.5)*0.3,0),IF(税額計算!H5="■",I83*0.3,IF(AND(税額計算!J4="■",税額計算!H6="■"),ROUNDDOWN((I83*0.5)*0.5,0),IF(税額計算!H6="■",I83*0.5,IF(AND(税額計算!J4="■",税額計算!H7="■"),ROUNDDOWN((I83*0.5)*0.8,0),IF(税額計算!H7="■",I83*0.8,IF(税額計算!J4="■",I83*0.5,I83))))))))</f>
        <v>0</v>
      </c>
      <c r="J84" s="409"/>
      <c r="K84" s="409"/>
      <c r="L84" s="409"/>
      <c r="M84" s="409"/>
      <c r="N84" s="409"/>
      <c r="O84" s="409"/>
      <c r="P84" s="409"/>
      <c r="Q84" s="409"/>
      <c r="R84" s="409"/>
      <c r="S84" s="409">
        <f>IF(S75=0,S75,IF(AND(税額計算!J4="■",税額計算!H5="■"),ROUNDDOWN((S83*0.5)*0.3,0),IF(税額計算!H5="■",S83*0.3,IF(AND(税額計算!J4="■",税額計算!H6="■"),ROUNDDOWN((S83*0.5)*0.5,0),IF(税額計算!H6="■",S83*0.5,IF(AND(税額計算!J4="■",税額計算!H7="■"),ROUNDDOWN((S83*0.5)*0.8,0),IF(税額計算!H7="■",S83*0.8,IF(税額計算!J4="■",S83*0.5,S83))))))))</f>
        <v>0</v>
      </c>
      <c r="T84" s="409"/>
      <c r="U84" s="409"/>
      <c r="V84" s="409"/>
      <c r="W84" s="409"/>
      <c r="X84" s="409"/>
      <c r="Y84" s="409"/>
      <c r="Z84" s="409"/>
      <c r="AA84" s="409"/>
      <c r="AB84" s="409"/>
      <c r="AC84" s="409">
        <f>IF(AC75=0,AC75,IF(税額計算!H5="■",AC83*0.3,IF(税額計算!H6="■",AC83*0.5,IF(税額計算!H7="■",AC83*0.8,AC83))))</f>
        <v>0</v>
      </c>
      <c r="AD84" s="409"/>
      <c r="AE84" s="409"/>
      <c r="AF84" s="409"/>
      <c r="AG84" s="409"/>
      <c r="AH84" s="409"/>
      <c r="AI84" s="409"/>
      <c r="AJ84" s="409"/>
      <c r="AK84" s="409"/>
      <c r="AL84" s="410"/>
      <c r="AM84" s="136"/>
      <c r="AN84" s="136"/>
      <c r="AO84" s="136"/>
    </row>
    <row r="85" spans="1:46" ht="13.5" customHeight="1" thickBot="1" x14ac:dyDescent="0.2">
      <c r="A85" s="136"/>
      <c r="B85" s="424" t="str">
        <f>IF(税額計算!J4="■","※特定世帯","")</f>
        <v/>
      </c>
      <c r="C85" s="425"/>
      <c r="D85" s="425"/>
      <c r="E85" s="425"/>
      <c r="F85" s="426"/>
      <c r="G85" s="473"/>
      <c r="H85" s="474"/>
      <c r="I85" s="588"/>
      <c r="J85" s="411"/>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11"/>
      <c r="AL85" s="412"/>
      <c r="AM85" s="136"/>
      <c r="AN85" s="136"/>
      <c r="AO85" s="136"/>
    </row>
    <row r="86" spans="1:46" ht="20.25" customHeight="1" thickBot="1" x14ac:dyDescent="0.2">
      <c r="A86" s="136"/>
      <c r="B86" s="556" t="s">
        <v>79</v>
      </c>
      <c r="C86" s="436"/>
      <c r="D86" s="436"/>
      <c r="E86" s="436"/>
      <c r="F86" s="436"/>
      <c r="G86" s="436"/>
      <c r="H86" s="557"/>
      <c r="I86" s="558">
        <f>IF((I79+I82+I84)&gt;I76,I76,ROUNDDOWN((I79+I82+I84),-2))</f>
        <v>0</v>
      </c>
      <c r="J86" s="559"/>
      <c r="K86" s="559"/>
      <c r="L86" s="559"/>
      <c r="M86" s="559"/>
      <c r="N86" s="559"/>
      <c r="O86" s="559"/>
      <c r="P86" s="559"/>
      <c r="Q86" s="559"/>
      <c r="R86" s="560"/>
      <c r="S86" s="430">
        <f>IF((S79+S82+S84)&gt;S76,S76,ROUNDDOWN((S79+S82+S84),-2))</f>
        <v>0</v>
      </c>
      <c r="T86" s="431"/>
      <c r="U86" s="431"/>
      <c r="V86" s="431"/>
      <c r="W86" s="431"/>
      <c r="X86" s="431"/>
      <c r="Y86" s="431"/>
      <c r="Z86" s="431"/>
      <c r="AA86" s="431"/>
      <c r="AB86" s="432"/>
      <c r="AC86" s="406">
        <f>IF((AC79+AC82+AC84)&gt;AC76,AC76,ROUNDDOWN((AC79+AC82+AC84),-2))</f>
        <v>0</v>
      </c>
      <c r="AD86" s="407"/>
      <c r="AE86" s="407"/>
      <c r="AF86" s="407"/>
      <c r="AG86" s="407"/>
      <c r="AH86" s="407"/>
      <c r="AI86" s="407"/>
      <c r="AJ86" s="407"/>
      <c r="AK86" s="407"/>
      <c r="AL86" s="408"/>
      <c r="AM86" s="136"/>
      <c r="AN86" s="136"/>
      <c r="AO86" s="136"/>
    </row>
    <row r="87" spans="1:46" ht="20.25" customHeight="1" thickBot="1" x14ac:dyDescent="0.2">
      <c r="A87" s="136"/>
      <c r="B87" s="569" t="s">
        <v>72</v>
      </c>
      <c r="C87" s="570"/>
      <c r="D87" s="570"/>
      <c r="E87" s="570"/>
      <c r="F87" s="570"/>
      <c r="G87" s="570"/>
      <c r="H87" s="570"/>
      <c r="I87" s="540">
        <f>IF(I86="","",ROUND(I86/12,0))</f>
        <v>0</v>
      </c>
      <c r="J87" s="540"/>
      <c r="K87" s="540"/>
      <c r="L87" s="540"/>
      <c r="M87" s="540"/>
      <c r="N87" s="540"/>
      <c r="O87" s="540"/>
      <c r="P87" s="540"/>
      <c r="Q87" s="540"/>
      <c r="R87" s="540"/>
      <c r="S87" s="540">
        <f>IF(S86="","",ROUND(S86/12,0))</f>
        <v>0</v>
      </c>
      <c r="T87" s="540"/>
      <c r="U87" s="540"/>
      <c r="V87" s="540"/>
      <c r="W87" s="540"/>
      <c r="X87" s="540"/>
      <c r="Y87" s="540"/>
      <c r="Z87" s="540"/>
      <c r="AA87" s="540"/>
      <c r="AB87" s="540"/>
      <c r="AC87" s="540">
        <f>IF(AC86="","",ROUND(AC86/12,0))</f>
        <v>0</v>
      </c>
      <c r="AD87" s="540"/>
      <c r="AE87" s="540"/>
      <c r="AF87" s="540"/>
      <c r="AG87" s="540"/>
      <c r="AH87" s="540"/>
      <c r="AI87" s="540"/>
      <c r="AJ87" s="540"/>
      <c r="AK87" s="540"/>
      <c r="AL87" s="541"/>
      <c r="AM87" s="136"/>
      <c r="AN87" s="136"/>
      <c r="AO87" s="136"/>
    </row>
    <row r="88" spans="1:46" s="149" customFormat="1" ht="16.5" customHeight="1" x14ac:dyDescent="0.15">
      <c r="A88" s="154"/>
      <c r="B88" s="136" t="s">
        <v>83</v>
      </c>
      <c r="AP88" s="151"/>
      <c r="AQ88" s="151"/>
      <c r="AR88" s="151"/>
      <c r="AS88" s="152"/>
    </row>
    <row r="89" spans="1:46" s="149" customFormat="1" ht="12" x14ac:dyDescent="0.15">
      <c r="A89" s="154"/>
      <c r="B89" s="307" t="s">
        <v>183</v>
      </c>
      <c r="AP89" s="151"/>
      <c r="AQ89" s="151"/>
      <c r="AR89" s="151"/>
      <c r="AS89" s="152"/>
    </row>
    <row r="90" spans="1:46" ht="5.25" customHeight="1" x14ac:dyDescent="0.15">
      <c r="A90" s="136"/>
      <c r="B90" s="144"/>
      <c r="C90" s="144"/>
      <c r="D90" s="144"/>
      <c r="E90" s="144"/>
      <c r="F90" s="155"/>
      <c r="G90" s="155"/>
      <c r="H90" s="156"/>
      <c r="I90" s="145"/>
      <c r="J90" s="145"/>
      <c r="K90" s="145"/>
      <c r="L90" s="145"/>
      <c r="M90" s="146"/>
      <c r="N90" s="145"/>
      <c r="O90" s="145"/>
      <c r="P90" s="145"/>
      <c r="Q90" s="145"/>
      <c r="R90" s="146"/>
      <c r="S90" s="155"/>
      <c r="T90" s="155"/>
      <c r="U90" s="145"/>
      <c r="V90" s="145"/>
      <c r="W90" s="145"/>
      <c r="X90" s="145"/>
      <c r="Y90" s="146"/>
      <c r="Z90" s="146"/>
      <c r="AA90" s="146"/>
      <c r="AB90" s="146"/>
      <c r="AC90" s="146"/>
      <c r="AD90" s="146"/>
      <c r="AE90" s="145"/>
      <c r="AF90" s="145"/>
      <c r="AG90" s="145"/>
      <c r="AH90" s="145"/>
      <c r="AI90" s="146"/>
      <c r="AJ90" s="157"/>
      <c r="AK90" s="157"/>
      <c r="AL90" s="157"/>
      <c r="AM90" s="157"/>
      <c r="AN90" s="146"/>
      <c r="AO90" s="136"/>
      <c r="AQ90" s="125"/>
    </row>
    <row r="91" spans="1:46" s="149" customFormat="1" ht="14.25" customHeight="1" x14ac:dyDescent="0.15">
      <c r="B91" s="126" t="str">
        <f>CONCATENATE("●　あなたの世帯は、",IF(税額計算!$H$4="■","軽減世帯には該当しないと思われます。",""),IF(税額計算!$H$5="■","７割軽減世帯に該当すると思われます。",""),IF(税額計算!$H$6="■","５割軽減世帯に該当すると思われます。",""),IF(税額計算!$H$7="■","２割軽減世帯に該当すると思われます。",""))</f>
        <v>●　あなたの世帯は、７割軽減世帯に該当すると思われます。</v>
      </c>
      <c r="AP91" s="151"/>
      <c r="AQ91" s="151"/>
      <c r="AR91" s="151"/>
      <c r="AS91" s="152"/>
    </row>
    <row r="92" spans="1:46" ht="13.5" customHeight="1" x14ac:dyDescent="0.15">
      <c r="A92" s="136"/>
      <c r="B92" s="189" t="s">
        <v>109</v>
      </c>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row>
    <row r="93" spans="1:46" ht="13.5" customHeight="1" x14ac:dyDescent="0.15">
      <c r="A93" s="136"/>
      <c r="B93" s="189" t="s">
        <v>110</v>
      </c>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row>
    <row r="94" spans="1:46" ht="13.5" customHeight="1" x14ac:dyDescent="0.15">
      <c r="A94" s="136"/>
      <c r="B94" s="189" t="s">
        <v>201</v>
      </c>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row>
    <row r="95" spans="1:46" s="149" customFormat="1" ht="14.25" customHeight="1" x14ac:dyDescent="0.15">
      <c r="B95" s="126" t="str">
        <f>CONCATENATE("●　あなたの世帯は、特定世帯に",IF(税額計算!$J$4="■","該当すると思われます。","該当しないと思われます。"))</f>
        <v>●　あなたの世帯は、特定世帯に該当しないと思われます。</v>
      </c>
      <c r="AP95" s="151"/>
      <c r="AQ95" s="151"/>
      <c r="AR95" s="151"/>
      <c r="AS95" s="152"/>
    </row>
    <row r="96" spans="1:46" s="193" customFormat="1" ht="12.75" customHeight="1" x14ac:dyDescent="0.15">
      <c r="A96" s="190"/>
      <c r="B96" s="189" t="s">
        <v>172</v>
      </c>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1"/>
      <c r="AQ96" s="191"/>
      <c r="AR96" s="191"/>
      <c r="AS96" s="192"/>
      <c r="AT96" s="190"/>
    </row>
    <row r="97" spans="1:46" s="193" customFormat="1" ht="12.75" customHeight="1" x14ac:dyDescent="0.15">
      <c r="A97" s="190"/>
      <c r="B97" s="189" t="s">
        <v>173</v>
      </c>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1"/>
      <c r="AQ97" s="191"/>
      <c r="AR97" s="191"/>
      <c r="AS97" s="192"/>
      <c r="AT97" s="190"/>
    </row>
    <row r="98" spans="1:46" s="190" customFormat="1" ht="16.5" customHeight="1" x14ac:dyDescent="0.15">
      <c r="A98" s="189"/>
      <c r="B98" s="190" t="s">
        <v>174</v>
      </c>
      <c r="AP98" s="191"/>
      <c r="AQ98" s="191"/>
      <c r="AR98" s="191"/>
      <c r="AS98" s="192"/>
    </row>
    <row r="99" spans="1:46" s="190" customFormat="1" ht="11.25" customHeight="1" x14ac:dyDescent="0.15">
      <c r="A99" s="189"/>
      <c r="B99" s="190" t="s">
        <v>175</v>
      </c>
      <c r="AP99" s="191"/>
      <c r="AQ99" s="191"/>
      <c r="AR99" s="191"/>
      <c r="AS99" s="192"/>
    </row>
    <row r="100" spans="1:46" s="190" customFormat="1" ht="5.25" customHeight="1" x14ac:dyDescent="0.15">
      <c r="A100" s="189"/>
      <c r="AP100" s="191"/>
      <c r="AQ100" s="191"/>
      <c r="AR100" s="191"/>
      <c r="AS100" s="192"/>
    </row>
    <row r="101" spans="1:46" s="160" customFormat="1" ht="16.5" customHeight="1" thickBot="1" x14ac:dyDescent="0.2">
      <c r="A101" s="158"/>
      <c r="B101" s="159" t="s">
        <v>81</v>
      </c>
      <c r="AP101" s="161"/>
      <c r="AQ101" s="161"/>
      <c r="AR101" s="161"/>
      <c r="AS101" s="162"/>
    </row>
    <row r="102" spans="1:46" s="149" customFormat="1" ht="22.5" customHeight="1" thickTop="1" thickBot="1" x14ac:dyDescent="0.25">
      <c r="A102" s="163"/>
      <c r="B102" s="553" t="str">
        <f>""&amp;TEXT(税率登録シート!K2,"ggge")&amp;"年度国民健康保険税の年税額は、"</f>
        <v>令和7年度国民健康保険税の年税額は、</v>
      </c>
      <c r="C102" s="554"/>
      <c r="D102" s="554"/>
      <c r="E102" s="554"/>
      <c r="F102" s="554"/>
      <c r="G102" s="554"/>
      <c r="H102" s="554"/>
      <c r="I102" s="554"/>
      <c r="J102" s="554"/>
      <c r="K102" s="554"/>
      <c r="L102" s="554"/>
      <c r="M102" s="554"/>
      <c r="N102" s="554"/>
      <c r="O102" s="554"/>
      <c r="P102" s="554"/>
      <c r="Q102" s="554"/>
      <c r="R102" s="554"/>
      <c r="S102" s="554"/>
      <c r="T102" s="554"/>
      <c r="U102" s="555"/>
      <c r="V102" s="546">
        <f>I86+S86+AC86</f>
        <v>0</v>
      </c>
      <c r="W102" s="547"/>
      <c r="X102" s="547"/>
      <c r="Y102" s="547"/>
      <c r="Z102" s="547"/>
      <c r="AA102" s="547"/>
      <c r="AB102" s="547"/>
      <c r="AC102" s="548"/>
      <c r="AD102" s="538" t="s">
        <v>186</v>
      </c>
      <c r="AE102" s="539"/>
      <c r="AF102" s="539"/>
      <c r="AG102" s="539"/>
      <c r="AH102" s="539"/>
      <c r="AI102" s="539"/>
      <c r="AJ102" s="539"/>
      <c r="AK102" s="539"/>
      <c r="AL102" s="539"/>
      <c r="AP102" s="151"/>
      <c r="AQ102" s="151"/>
      <c r="AR102" s="151"/>
      <c r="AS102" s="152"/>
    </row>
    <row r="103" spans="1:46" ht="5.25" customHeight="1" thickTop="1" x14ac:dyDescent="0.15">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row>
    <row r="104" spans="1:46" s="149" customFormat="1" ht="16.5" customHeight="1" x14ac:dyDescent="0.15">
      <c r="A104" s="154"/>
      <c r="B104" s="164"/>
      <c r="C104" s="165"/>
      <c r="D104" s="165"/>
      <c r="E104" s="165"/>
      <c r="F104" s="165"/>
      <c r="G104" s="165"/>
      <c r="J104" s="165"/>
      <c r="Q104" s="166"/>
      <c r="R104" s="166"/>
      <c r="T104" s="167"/>
      <c r="U104" s="167"/>
      <c r="V104" s="167"/>
      <c r="W104" s="167"/>
      <c r="X104" s="167"/>
      <c r="Y104" s="167"/>
      <c r="Z104" s="167"/>
      <c r="AA104" s="167"/>
      <c r="AB104" s="167" t="s">
        <v>102</v>
      </c>
      <c r="AC104" s="537">
        <f>ROUND((I87+S87+AC87),0)</f>
        <v>0</v>
      </c>
      <c r="AD104" s="537"/>
      <c r="AE104" s="537"/>
      <c r="AF104" s="537"/>
      <c r="AG104" s="537"/>
      <c r="AH104" s="396" t="s">
        <v>80</v>
      </c>
      <c r="AI104" s="396"/>
      <c r="AP104" s="151"/>
      <c r="AQ104" s="151"/>
      <c r="AR104" s="151"/>
      <c r="AS104" s="152"/>
    </row>
    <row r="105" spans="1:46" ht="13.5" customHeight="1" x14ac:dyDescent="0.15">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row>
    <row r="106" spans="1:46" s="169" customFormat="1" ht="14.25" customHeight="1" x14ac:dyDescent="0.15">
      <c r="A106" s="168"/>
      <c r="B106" s="479" t="s">
        <v>91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1"/>
      <c r="AP106" s="170"/>
      <c r="AQ106" s="170"/>
      <c r="AR106" s="170"/>
      <c r="AS106" s="171"/>
    </row>
    <row r="107" spans="1:46" s="149" customFormat="1" ht="14.25" customHeight="1" x14ac:dyDescent="0.15">
      <c r="A107" s="172"/>
      <c r="B107" s="482"/>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4"/>
      <c r="AP107" s="151"/>
      <c r="AQ107" s="151"/>
      <c r="AR107" s="151"/>
      <c r="AS107" s="152"/>
    </row>
    <row r="108" spans="1:46" s="141" customFormat="1" ht="16.5" customHeight="1" x14ac:dyDescent="0.15"/>
    <row r="109" spans="1:46" s="141" customFormat="1" ht="16.5" customHeight="1" x14ac:dyDescent="0.15"/>
    <row r="110" spans="1:46" s="141" customFormat="1" ht="16.5" customHeight="1" x14ac:dyDescent="0.15"/>
    <row r="111" spans="1:46" s="141" customFormat="1" ht="16.5" customHeight="1" x14ac:dyDescent="0.15"/>
    <row r="112" spans="1:46" s="141" customFormat="1" ht="16.5" customHeight="1" x14ac:dyDescent="0.15"/>
    <row r="113" spans="17:34" s="141" customFormat="1" ht="16.5" customHeight="1" x14ac:dyDescent="0.15"/>
    <row r="114" spans="17:34" s="141" customFormat="1" ht="16.5" customHeight="1" x14ac:dyDescent="0.15">
      <c r="Q114" s="195"/>
      <c r="R114" s="467" t="s">
        <v>26</v>
      </c>
      <c r="S114" s="467"/>
      <c r="AD114" s="455" t="s">
        <v>46</v>
      </c>
      <c r="AE114" s="455"/>
      <c r="AF114" s="455"/>
      <c r="AG114" s="455"/>
      <c r="AH114" s="455"/>
    </row>
    <row r="115" spans="17:34" s="141" customFormat="1" ht="16.5" customHeight="1" x14ac:dyDescent="0.15">
      <c r="Q115" s="195"/>
      <c r="R115" s="467" t="s">
        <v>25</v>
      </c>
      <c r="S115" s="467"/>
      <c r="AD115" s="455" t="s">
        <v>47</v>
      </c>
      <c r="AE115" s="455"/>
      <c r="AF115" s="455"/>
      <c r="AG115" s="455"/>
      <c r="AH115" s="455"/>
    </row>
    <row r="116" spans="17:34" s="141" customFormat="1" ht="16.5" customHeight="1" x14ac:dyDescent="0.15"/>
    <row r="117" spans="17:34" s="141" customFormat="1" ht="16.5" customHeight="1" x14ac:dyDescent="0.15"/>
  </sheetData>
  <sheetProtection algorithmName="SHA-512" hashValue="JBGcecidPxZ97GbZuD8YSyMTpxEhFqVweZI/Ch2iXxFjoH/tJ6OU6c0KwKdI8ILoadrFm/dFprUkT/l+RvetLg==" saltValue="vwh0S4VU2wGlF2teycCvSQ==" spinCount="100000" sheet="1" selectLockedCells="1"/>
  <mergeCells count="309">
    <mergeCell ref="AU8:BE8"/>
    <mergeCell ref="AU9:BE9"/>
    <mergeCell ref="B72:H72"/>
    <mergeCell ref="I72:J72"/>
    <mergeCell ref="K72:R72"/>
    <mergeCell ref="AR58:AS58"/>
    <mergeCell ref="S68:T68"/>
    <mergeCell ref="U68:X68"/>
    <mergeCell ref="B68:E68"/>
    <mergeCell ref="F68:G68"/>
    <mergeCell ref="I68:L68"/>
    <mergeCell ref="N68:Q68"/>
    <mergeCell ref="S66:T66"/>
    <mergeCell ref="U66:X66"/>
    <mergeCell ref="B67:E67"/>
    <mergeCell ref="F64:G64"/>
    <mergeCell ref="I64:L64"/>
    <mergeCell ref="N64:Q64"/>
    <mergeCell ref="B65:E65"/>
    <mergeCell ref="F65:G65"/>
    <mergeCell ref="I65:L65"/>
    <mergeCell ref="N65:Q65"/>
    <mergeCell ref="U67:X67"/>
    <mergeCell ref="AJ63:AM63"/>
    <mergeCell ref="AE61:AH61"/>
    <mergeCell ref="AJ61:AM61"/>
    <mergeCell ref="Z62:AC62"/>
    <mergeCell ref="AE62:AH62"/>
    <mergeCell ref="AJ64:AM64"/>
    <mergeCell ref="S64:T64"/>
    <mergeCell ref="U64:X64"/>
    <mergeCell ref="Z64:AC64"/>
    <mergeCell ref="AJ62:AM62"/>
    <mergeCell ref="S63:T63"/>
    <mergeCell ref="AE64:AH64"/>
    <mergeCell ref="Z61:AC61"/>
    <mergeCell ref="U63:X63"/>
    <mergeCell ref="Z63:AC63"/>
    <mergeCell ref="S61:T61"/>
    <mergeCell ref="U61:X61"/>
    <mergeCell ref="S62:T62"/>
    <mergeCell ref="U62:X62"/>
    <mergeCell ref="AE63:AH63"/>
    <mergeCell ref="AE56:AI57"/>
    <mergeCell ref="AJ56:AN57"/>
    <mergeCell ref="B58:E58"/>
    <mergeCell ref="F58:G58"/>
    <mergeCell ref="I58:L58"/>
    <mergeCell ref="N58:Q58"/>
    <mergeCell ref="S58:T58"/>
    <mergeCell ref="U58:X58"/>
    <mergeCell ref="Z58:AC58"/>
    <mergeCell ref="AE58:AH58"/>
    <mergeCell ref="AJ58:AM58"/>
    <mergeCell ref="U56:Y57"/>
    <mergeCell ref="AE59:AH59"/>
    <mergeCell ref="AJ59:AM59"/>
    <mergeCell ref="B60:E60"/>
    <mergeCell ref="F60:G60"/>
    <mergeCell ref="I60:L60"/>
    <mergeCell ref="N60:Q60"/>
    <mergeCell ref="S60:T60"/>
    <mergeCell ref="U60:X60"/>
    <mergeCell ref="AJ60:AM60"/>
    <mergeCell ref="Z60:AC60"/>
    <mergeCell ref="AE60:AH60"/>
    <mergeCell ref="S59:T59"/>
    <mergeCell ref="U59:X59"/>
    <mergeCell ref="AC75:AJ75"/>
    <mergeCell ref="AA75:AB75"/>
    <mergeCell ref="B87:H87"/>
    <mergeCell ref="AC77:AL77"/>
    <mergeCell ref="AC80:AL80"/>
    <mergeCell ref="I87:R87"/>
    <mergeCell ref="S87:AB87"/>
    <mergeCell ref="P81:R81"/>
    <mergeCell ref="S80:AB80"/>
    <mergeCell ref="I75:P75"/>
    <mergeCell ref="G84:H85"/>
    <mergeCell ref="I76:R76"/>
    <mergeCell ref="Q75:R75"/>
    <mergeCell ref="S75:Z75"/>
    <mergeCell ref="I80:R80"/>
    <mergeCell ref="S77:AB77"/>
    <mergeCell ref="P78:R78"/>
    <mergeCell ref="B83:F83"/>
    <mergeCell ref="B82:F82"/>
    <mergeCell ref="B80:F81"/>
    <mergeCell ref="I84:R85"/>
    <mergeCell ref="AK75:AL75"/>
    <mergeCell ref="AC76:AL76"/>
    <mergeCell ref="S78:X78"/>
    <mergeCell ref="AC104:AG104"/>
    <mergeCell ref="AD102:AL102"/>
    <mergeCell ref="AH104:AI104"/>
    <mergeCell ref="AC87:AL87"/>
    <mergeCell ref="AJ81:AL81"/>
    <mergeCell ref="S82:AB82"/>
    <mergeCell ref="AC82:AL82"/>
    <mergeCell ref="AC79:AL79"/>
    <mergeCell ref="S84:AB85"/>
    <mergeCell ref="S79:AB79"/>
    <mergeCell ref="V102:AC102"/>
    <mergeCell ref="Z81:AB81"/>
    <mergeCell ref="AC81:AH81"/>
    <mergeCell ref="B102:U102"/>
    <mergeCell ref="B86:H86"/>
    <mergeCell ref="I86:R86"/>
    <mergeCell ref="I82:R82"/>
    <mergeCell ref="G80:H80"/>
    <mergeCell ref="I81:L81"/>
    <mergeCell ref="S81:V81"/>
    <mergeCell ref="B39:E40"/>
    <mergeCell ref="F39:H40"/>
    <mergeCell ref="B46:E47"/>
    <mergeCell ref="B41:E41"/>
    <mergeCell ref="F46:H47"/>
    <mergeCell ref="I46:M47"/>
    <mergeCell ref="F41:G41"/>
    <mergeCell ref="U49:X49"/>
    <mergeCell ref="F50:G50"/>
    <mergeCell ref="I50:L50"/>
    <mergeCell ref="N50:Q50"/>
    <mergeCell ref="I41:L41"/>
    <mergeCell ref="N46:T47"/>
    <mergeCell ref="F48:G48"/>
    <mergeCell ref="I48:L48"/>
    <mergeCell ref="N48:Q48"/>
    <mergeCell ref="F49:G49"/>
    <mergeCell ref="I49:L49"/>
    <mergeCell ref="B48:E48"/>
    <mergeCell ref="B49:E49"/>
    <mergeCell ref="B50:E50"/>
    <mergeCell ref="S49:T49"/>
    <mergeCell ref="S48:T48"/>
    <mergeCell ref="N49:Q49"/>
    <mergeCell ref="I61:L61"/>
    <mergeCell ref="N61:Q61"/>
    <mergeCell ref="U72:AB72"/>
    <mergeCell ref="I39:M40"/>
    <mergeCell ref="I26:L26"/>
    <mergeCell ref="F24:G24"/>
    <mergeCell ref="B22:E22"/>
    <mergeCell ref="B23:E23"/>
    <mergeCell ref="B24:E24"/>
    <mergeCell ref="I24:L24"/>
    <mergeCell ref="I25:L25"/>
    <mergeCell ref="B27:E27"/>
    <mergeCell ref="B28:E28"/>
    <mergeCell ref="I22:L22"/>
    <mergeCell ref="I23:L23"/>
    <mergeCell ref="F29:Y29"/>
    <mergeCell ref="F23:G23"/>
    <mergeCell ref="S23:T23"/>
    <mergeCell ref="S25:T25"/>
    <mergeCell ref="S28:T28"/>
    <mergeCell ref="S26:T26"/>
    <mergeCell ref="S27:T27"/>
    <mergeCell ref="N39:T40"/>
    <mergeCell ref="U39:Y40"/>
    <mergeCell ref="B63:E63"/>
    <mergeCell ref="F63:G63"/>
    <mergeCell ref="I63:L63"/>
    <mergeCell ref="N63:Q63"/>
    <mergeCell ref="B62:E62"/>
    <mergeCell ref="F62:G62"/>
    <mergeCell ref="I62:L62"/>
    <mergeCell ref="N62:Q62"/>
    <mergeCell ref="S65:T65"/>
    <mergeCell ref="B66:E66"/>
    <mergeCell ref="B74:H74"/>
    <mergeCell ref="G77:H77"/>
    <mergeCell ref="B56:E57"/>
    <mergeCell ref="F56:H57"/>
    <mergeCell ref="I56:M57"/>
    <mergeCell ref="N56:T57"/>
    <mergeCell ref="F66:G66"/>
    <mergeCell ref="I66:L66"/>
    <mergeCell ref="N67:Q67"/>
    <mergeCell ref="S67:T67"/>
    <mergeCell ref="N66:Q66"/>
    <mergeCell ref="F67:G67"/>
    <mergeCell ref="I67:L67"/>
    <mergeCell ref="S74:AB74"/>
    <mergeCell ref="Z59:AC59"/>
    <mergeCell ref="Z56:AD57"/>
    <mergeCell ref="B61:E61"/>
    <mergeCell ref="B59:E59"/>
    <mergeCell ref="F59:G59"/>
    <mergeCell ref="I59:L59"/>
    <mergeCell ref="N59:Q59"/>
    <mergeCell ref="U65:X65"/>
    <mergeCell ref="B64:E64"/>
    <mergeCell ref="N17:T18"/>
    <mergeCell ref="N41:Q41"/>
    <mergeCell ref="N42:AB42"/>
    <mergeCell ref="AD114:AH114"/>
    <mergeCell ref="AD115:AH115"/>
    <mergeCell ref="E51:AC51"/>
    <mergeCell ref="I74:R74"/>
    <mergeCell ref="I77:R77"/>
    <mergeCell ref="I78:N78"/>
    <mergeCell ref="I79:R79"/>
    <mergeCell ref="S76:AB76"/>
    <mergeCell ref="R115:S115"/>
    <mergeCell ref="AC74:AL74"/>
    <mergeCell ref="R114:S114"/>
    <mergeCell ref="S83:AB83"/>
    <mergeCell ref="AC83:AL83"/>
    <mergeCell ref="G78:H79"/>
    <mergeCell ref="G81:H82"/>
    <mergeCell ref="B75:H75"/>
    <mergeCell ref="B76:H76"/>
    <mergeCell ref="AJ78:AL78"/>
    <mergeCell ref="S72:T72"/>
    <mergeCell ref="B106:AL107"/>
    <mergeCell ref="F61:G61"/>
    <mergeCell ref="N23:Q23"/>
    <mergeCell ref="N24:Q24"/>
    <mergeCell ref="N25:Q25"/>
    <mergeCell ref="N26:Q26"/>
    <mergeCell ref="AO17:AO21"/>
    <mergeCell ref="AT2:BF2"/>
    <mergeCell ref="B52:AN53"/>
    <mergeCell ref="B1:AN2"/>
    <mergeCell ref="AC86:AL86"/>
    <mergeCell ref="AC84:AL85"/>
    <mergeCell ref="B77:F79"/>
    <mergeCell ref="Z78:AB78"/>
    <mergeCell ref="AC78:AH78"/>
    <mergeCell ref="B85:F85"/>
    <mergeCell ref="B84:F84"/>
    <mergeCell ref="S86:AB86"/>
    <mergeCell ref="I83:R83"/>
    <mergeCell ref="G83:H83"/>
    <mergeCell ref="M34:O34"/>
    <mergeCell ref="Z41:AD41"/>
    <mergeCell ref="Z39:AD40"/>
    <mergeCell ref="U41:X41"/>
    <mergeCell ref="S50:T50"/>
    <mergeCell ref="U50:X50"/>
    <mergeCell ref="I27:L27"/>
    <mergeCell ref="U25:X25"/>
    <mergeCell ref="U26:X26"/>
    <mergeCell ref="AJ22:AM22"/>
    <mergeCell ref="I17:M21"/>
    <mergeCell ref="N19:T21"/>
    <mergeCell ref="AE72:AL72"/>
    <mergeCell ref="AC72:AD72"/>
    <mergeCell ref="AY4:BB4"/>
    <mergeCell ref="AT4:AX4"/>
    <mergeCell ref="H34:J34"/>
    <mergeCell ref="U23:X23"/>
    <mergeCell ref="U48:X48"/>
    <mergeCell ref="S41:T41"/>
    <mergeCell ref="I28:L28"/>
    <mergeCell ref="S22:T22"/>
    <mergeCell ref="N22:Q22"/>
    <mergeCell ref="Z22:AC22"/>
    <mergeCell ref="AE24:AH24"/>
    <mergeCell ref="AJ24:AM24"/>
    <mergeCell ref="Z23:AC23"/>
    <mergeCell ref="Z29:AN29"/>
    <mergeCell ref="AJ26:AM26"/>
    <mergeCell ref="AE27:AH27"/>
    <mergeCell ref="C7:E7"/>
    <mergeCell ref="F26:G26"/>
    <mergeCell ref="F27:G27"/>
    <mergeCell ref="F28:G28"/>
    <mergeCell ref="F25:G25"/>
    <mergeCell ref="B25:E25"/>
    <mergeCell ref="B26:E26"/>
    <mergeCell ref="F17:H21"/>
    <mergeCell ref="F22:G22"/>
    <mergeCell ref="B17:E21"/>
    <mergeCell ref="S24:T24"/>
    <mergeCell ref="N28:Q28"/>
    <mergeCell ref="U27:X27"/>
    <mergeCell ref="U28:X28"/>
    <mergeCell ref="AE26:AH26"/>
    <mergeCell ref="Z28:AC28"/>
    <mergeCell ref="Z48:AD48"/>
    <mergeCell ref="Z49:AD49"/>
    <mergeCell ref="AJ30:AT30"/>
    <mergeCell ref="AJ27:AM27"/>
    <mergeCell ref="N27:Q27"/>
    <mergeCell ref="AE28:AH28"/>
    <mergeCell ref="AE39:AI40"/>
    <mergeCell ref="AT17:AT21"/>
    <mergeCell ref="Z24:AC24"/>
    <mergeCell ref="Z25:AC25"/>
    <mergeCell ref="Z26:AC26"/>
    <mergeCell ref="Z27:AC27"/>
    <mergeCell ref="AE25:AH25"/>
    <mergeCell ref="AJ25:AM25"/>
    <mergeCell ref="Z50:AD50"/>
    <mergeCell ref="U46:Y47"/>
    <mergeCell ref="Z46:AD47"/>
    <mergeCell ref="U22:X22"/>
    <mergeCell ref="U24:X24"/>
    <mergeCell ref="AJ28:AM28"/>
    <mergeCell ref="AE41:AI41"/>
    <mergeCell ref="AJ17:AN21"/>
    <mergeCell ref="AE22:AH22"/>
    <mergeCell ref="Z17:AD21"/>
    <mergeCell ref="AJ23:AM23"/>
    <mergeCell ref="AE23:AH23"/>
    <mergeCell ref="AE17:AI21"/>
    <mergeCell ref="U17:Y21"/>
  </mergeCells>
  <phoneticPr fontId="2"/>
  <conditionalFormatting sqref="F22:F28">
    <cfRule type="expression" dxfId="22" priority="5" stopIfTrue="1">
      <formula>AR22="該当"</formula>
    </cfRule>
  </conditionalFormatting>
  <conditionalFormatting sqref="F41">
    <cfRule type="expression" dxfId="21" priority="18" stopIfTrue="1">
      <formula>AR41="該当"</formula>
    </cfRule>
    <cfRule type="expression" dxfId="20" priority="19" stopIfTrue="1">
      <formula>F41&gt;105</formula>
    </cfRule>
  </conditionalFormatting>
  <conditionalFormatting sqref="F22:G28">
    <cfRule type="cellIs" dxfId="19" priority="3" stopIfTrue="1" operator="greaterThan">
      <formula>74</formula>
    </cfRule>
    <cfRule type="expression" dxfId="18" priority="4" stopIfTrue="1">
      <formula>AP22="該当"</formula>
    </cfRule>
  </conditionalFormatting>
  <conditionalFormatting sqref="F41:G41">
    <cfRule type="expression" dxfId="17" priority="17" stopIfTrue="1">
      <formula>AP41="該当"</formula>
    </cfRule>
  </conditionalFormatting>
  <conditionalFormatting sqref="F48:G50 F90:G90">
    <cfRule type="cellIs" dxfId="16" priority="33" stopIfTrue="1" operator="between">
      <formula>1</formula>
      <formula>64</formula>
    </cfRule>
  </conditionalFormatting>
  <conditionalFormatting sqref="G22:G28">
    <cfRule type="expression" dxfId="15" priority="8" stopIfTrue="1">
      <formula>#REF!="該当"</formula>
    </cfRule>
  </conditionalFormatting>
  <conditionalFormatting sqref="G41">
    <cfRule type="expression" dxfId="14" priority="21" stopIfTrue="1">
      <formula>#REF!="該当"</formula>
    </cfRule>
    <cfRule type="expression" dxfId="13" priority="22" stopIfTrue="1">
      <formula>G41&gt;105</formula>
    </cfRule>
  </conditionalFormatting>
  <conditionalFormatting sqref="N22:N28 N41">
    <cfRule type="expression" dxfId="12" priority="10" stopIfTrue="1">
      <formula>AR22="該当"</formula>
    </cfRule>
  </conditionalFormatting>
  <conditionalFormatting sqref="N22:N28 N41:P41">
    <cfRule type="expression" dxfId="11" priority="9" stopIfTrue="1">
      <formula>AP22="該当"</formula>
    </cfRule>
  </conditionalFormatting>
  <conditionalFormatting sqref="O41">
    <cfRule type="expression" dxfId="10" priority="16" stopIfTrue="1">
      <formula>#REF!="該当"</formula>
    </cfRule>
  </conditionalFormatting>
  <conditionalFormatting sqref="P41:Q41">
    <cfRule type="expression" dxfId="9" priority="12" stopIfTrue="1">
      <formula>AS41="該当"</formula>
    </cfRule>
  </conditionalFormatting>
  <conditionalFormatting sqref="Q41">
    <cfRule type="expression" dxfId="8" priority="11" stopIfTrue="1">
      <formula>#REF!="該当"</formula>
    </cfRule>
  </conditionalFormatting>
  <conditionalFormatting sqref="S22:S28 T58 S58:S64 S66:S68">
    <cfRule type="expression" dxfId="7" priority="24" stopIfTrue="1">
      <formula>#REF!="該当"</formula>
    </cfRule>
  </conditionalFormatting>
  <conditionalFormatting sqref="S48:S50 S90">
    <cfRule type="expression" dxfId="6" priority="1" stopIfTrue="1">
      <formula>V48="該当"</formula>
    </cfRule>
  </conditionalFormatting>
  <conditionalFormatting sqref="S65">
    <cfRule type="expression" dxfId="5" priority="30" stopIfTrue="1">
      <formula>#REF!="該当"</formula>
    </cfRule>
  </conditionalFormatting>
  <conditionalFormatting sqref="S22:T28 S58:T64 S66:T68">
    <cfRule type="expression" dxfId="4" priority="23" stopIfTrue="1">
      <formula>AP22="該当"</formula>
    </cfRule>
  </conditionalFormatting>
  <conditionalFormatting sqref="S41:T41">
    <cfRule type="expression" dxfId="3" priority="2" stopIfTrue="1">
      <formula>AP41="該当"</formula>
    </cfRule>
  </conditionalFormatting>
  <conditionalFormatting sqref="S65:T65">
    <cfRule type="expression" dxfId="2" priority="29" stopIfTrue="1">
      <formula>AK65="該当"</formula>
    </cfRule>
  </conditionalFormatting>
  <conditionalFormatting sqref="T22:T28 T59:T64 T66:T68">
    <cfRule type="expression" dxfId="1" priority="26" stopIfTrue="1">
      <formula>AS22="該当"</formula>
    </cfRule>
  </conditionalFormatting>
  <conditionalFormatting sqref="T65">
    <cfRule type="expression" dxfId="0" priority="32" stopIfTrue="1">
      <formula>AN65="該当"</formula>
    </cfRule>
  </conditionalFormatting>
  <dataValidations count="5">
    <dataValidation type="list" allowBlank="1" showInputMessage="1" showErrorMessage="1" sqref="Z41:AD41" xr:uid="{00000000-0002-0000-0000-000000000000}">
      <formula1>$AD$114:$AD$115</formula1>
    </dataValidation>
    <dataValidation type="list" allowBlank="1" showInputMessage="1" showErrorMessage="1" sqref="S41:T41" xr:uid="{00000000-0002-0000-0000-000001000000}">
      <formula1>$R$114:$R$115</formula1>
    </dataValidation>
    <dataValidation type="list" allowBlank="1" showInputMessage="1" showErrorMessage="1" sqref="AY4:BB4" xr:uid="{00000000-0002-0000-0000-000002000000}">
      <formula1>"平成30年度,平成31年度,令和2年度,令和3年度,令和4年度,令和5年度,令和6年度,令和7年度"</formula1>
    </dataValidation>
    <dataValidation type="list" allowBlank="1" showInputMessage="1" showErrorMessage="1" sqref="S22:T28" xr:uid="{2971F4F3-5D98-4868-BBEE-3DCAB4F4A707}">
      <formula1>"以前,以降"</formula1>
    </dataValidation>
    <dataValidation type="list" allowBlank="1" showInputMessage="1" showErrorMessage="1" sqref="AO22:AO28 AE41:AI41 Z48:AD50" xr:uid="{1DB05021-5621-47E7-98CD-6E7AD056FF58}">
      <formula1>"無し,有り"</formula1>
    </dataValidation>
  </dataValidations>
  <pageMargins left="0.59055118110236227" right="0.19685039370078741" top="0.59055118110236227" bottom="0.51181102362204722" header="0.51181102362204722" footer="0.35433070866141736"/>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43"/>
  <sheetViews>
    <sheetView showGridLines="0" zoomScaleNormal="100" workbookViewId="0">
      <selection activeCell="L14" sqref="L14"/>
    </sheetView>
  </sheetViews>
  <sheetFormatPr defaultRowHeight="18.75" customHeight="1" x14ac:dyDescent="0.15"/>
  <cols>
    <col min="1" max="3" width="4.625" customWidth="1"/>
    <col min="4" max="6" width="3.625" customWidth="1"/>
    <col min="7" max="7" width="12.625" customWidth="1"/>
    <col min="11" max="11" width="8.625" customWidth="1"/>
    <col min="12" max="12" width="6.625" customWidth="1"/>
    <col min="15" max="15" width="11.625" bestFit="1" customWidth="1"/>
    <col min="16" max="17" width="6.625" customWidth="1"/>
    <col min="22" max="24" width="9.875" bestFit="1" customWidth="1"/>
    <col min="25" max="33" width="7.625" customWidth="1"/>
  </cols>
  <sheetData>
    <row r="1" spans="1:35" ht="18.75" customHeight="1" thickBot="1" x14ac:dyDescent="0.2"/>
    <row r="2" spans="1:35" ht="18.75" customHeight="1" thickBot="1" x14ac:dyDescent="0.2">
      <c r="A2" s="690" t="s">
        <v>131</v>
      </c>
      <c r="B2" s="691"/>
      <c r="C2" s="691"/>
      <c r="D2" s="692">
        <f>入力試算シート!BD4</f>
        <v>2025</v>
      </c>
      <c r="E2" s="693"/>
      <c r="F2" s="694"/>
      <c r="G2" s="207" t="s">
        <v>132</v>
      </c>
      <c r="H2" s="688" t="s">
        <v>134</v>
      </c>
      <c r="I2" s="648" t="s">
        <v>135</v>
      </c>
      <c r="J2" s="649"/>
      <c r="K2" s="212">
        <f>DATE(D2,1,1)</f>
        <v>45658</v>
      </c>
      <c r="L2" s="211" t="s">
        <v>132</v>
      </c>
      <c r="M2" s="217" t="s">
        <v>134</v>
      </c>
      <c r="N2" s="215" t="s">
        <v>140</v>
      </c>
      <c r="O2" s="218">
        <f>DATE(D2+1,1,1)</f>
        <v>46023</v>
      </c>
    </row>
    <row r="3" spans="1:35" ht="18.75" customHeight="1" thickBot="1" x14ac:dyDescent="0.2">
      <c r="A3" s="208"/>
      <c r="B3" s="208"/>
      <c r="C3" s="208"/>
      <c r="D3" s="210"/>
      <c r="E3" s="210"/>
      <c r="F3" s="210"/>
      <c r="G3" s="209"/>
      <c r="H3" s="688"/>
      <c r="I3" s="653" t="s">
        <v>133</v>
      </c>
      <c r="J3" s="654"/>
      <c r="K3" s="214">
        <f>DATE(D2-65,1,1)</f>
        <v>21916</v>
      </c>
      <c r="L3" s="213" t="s">
        <v>136</v>
      </c>
      <c r="N3" s="216" t="s">
        <v>141</v>
      </c>
      <c r="O3" s="219">
        <f>DATE(D2-1,1,1)</f>
        <v>45292</v>
      </c>
    </row>
    <row r="4" spans="1:35" ht="18.75" customHeight="1" x14ac:dyDescent="0.15">
      <c r="A4" s="198"/>
      <c r="B4" s="695"/>
      <c r="C4" s="695"/>
      <c r="D4" s="695"/>
      <c r="E4" s="695"/>
      <c r="F4" s="695"/>
      <c r="G4" s="695"/>
      <c r="H4" s="695"/>
    </row>
    <row r="5" spans="1:35" ht="18.75" customHeight="1" thickBot="1" x14ac:dyDescent="0.2">
      <c r="A5" s="699" t="s">
        <v>117</v>
      </c>
      <c r="B5" s="699"/>
      <c r="C5" s="699"/>
      <c r="D5" s="699"/>
      <c r="E5" s="699"/>
      <c r="F5" s="110"/>
      <c r="G5" s="110"/>
    </row>
    <row r="6" spans="1:35" ht="18.75" customHeight="1" x14ac:dyDescent="0.15">
      <c r="A6" s="696" t="s">
        <v>23</v>
      </c>
      <c r="B6" s="697"/>
      <c r="C6" s="698"/>
      <c r="D6" s="657">
        <f>LOOKUP(D2,Q17:Q28,R17:R28)</f>
        <v>660000</v>
      </c>
      <c r="E6" s="658"/>
      <c r="F6" s="658"/>
      <c r="G6" s="659"/>
      <c r="H6" s="689" t="s">
        <v>134</v>
      </c>
      <c r="I6" s="700" t="s">
        <v>137</v>
      </c>
      <c r="J6" s="701"/>
      <c r="K6" s="682">
        <f>SUM(D6:G8)</f>
        <v>1090000</v>
      </c>
      <c r="L6" s="683"/>
    </row>
    <row r="7" spans="1:35" ht="18.75" customHeight="1" x14ac:dyDescent="0.15">
      <c r="A7" s="645" t="s">
        <v>115</v>
      </c>
      <c r="B7" s="646"/>
      <c r="C7" s="647"/>
      <c r="D7" s="709">
        <f>LOOKUP(D2,Q17:Q28,S17:S28)</f>
        <v>260000</v>
      </c>
      <c r="E7" s="710"/>
      <c r="F7" s="710"/>
      <c r="G7" s="711"/>
      <c r="H7" s="689"/>
      <c r="I7" s="702"/>
      <c r="J7" s="703"/>
      <c r="K7" s="684"/>
      <c r="L7" s="685"/>
    </row>
    <row r="8" spans="1:35" ht="18.75" customHeight="1" thickBot="1" x14ac:dyDescent="0.2">
      <c r="A8" s="706" t="s">
        <v>24</v>
      </c>
      <c r="B8" s="707"/>
      <c r="C8" s="708"/>
      <c r="D8" s="660">
        <f>LOOKUP(D2,Q17:Q28,T17:T28)</f>
        <v>170000</v>
      </c>
      <c r="E8" s="661"/>
      <c r="F8" s="661"/>
      <c r="G8" s="662"/>
      <c r="H8" s="689"/>
      <c r="I8" s="704"/>
      <c r="J8" s="705"/>
      <c r="K8" s="686"/>
      <c r="L8" s="687"/>
    </row>
    <row r="9" spans="1:35" ht="18.75" customHeight="1" x14ac:dyDescent="0.15">
      <c r="A9" s="109"/>
      <c r="B9" s="109"/>
      <c r="C9" s="109"/>
      <c r="D9" s="109"/>
      <c r="E9" s="109"/>
      <c r="F9" s="109"/>
      <c r="G9" s="109"/>
    </row>
    <row r="10" spans="1:35" ht="18.75" customHeight="1" thickBot="1" x14ac:dyDescent="0.2">
      <c r="A10" s="638" t="s">
        <v>118</v>
      </c>
      <c r="B10" s="638"/>
      <c r="C10" s="638"/>
      <c r="D10" s="638"/>
      <c r="E10" s="638"/>
      <c r="F10" s="109"/>
      <c r="G10" s="109"/>
      <c r="H10" s="298" t="s">
        <v>177</v>
      </c>
    </row>
    <row r="11" spans="1:35" ht="18.75" customHeight="1" x14ac:dyDescent="0.15">
      <c r="A11" s="639" t="s">
        <v>119</v>
      </c>
      <c r="B11" s="640"/>
      <c r="C11" s="641"/>
      <c r="D11" s="633">
        <f>LOOKUP($D$2,$Q$17:$Q$28,U$17:U$28)</f>
        <v>430000</v>
      </c>
      <c r="E11" s="633"/>
      <c r="F11" s="633"/>
      <c r="G11" s="634"/>
      <c r="H11" s="607">
        <f>D28+IF(SUM(速算表!G9:G19)&gt;=2,税率登録シート!D14*(SUM(速算表!G9:G19)-1),0)</f>
        <v>430000</v>
      </c>
      <c r="I11" s="608"/>
      <c r="J11" s="255" t="s">
        <v>176</v>
      </c>
    </row>
    <row r="12" spans="1:35" ht="18.75" customHeight="1" x14ac:dyDescent="0.15">
      <c r="A12" s="642" t="s">
        <v>120</v>
      </c>
      <c r="B12" s="643"/>
      <c r="C12" s="644"/>
      <c r="D12" s="651">
        <f>LOOKUP($D$2,$Q$17:$Q$28,V$17:V$28)</f>
        <v>305000</v>
      </c>
      <c r="E12" s="651"/>
      <c r="F12" s="651"/>
      <c r="G12" s="652"/>
      <c r="H12" s="607">
        <f>D28+D12*(COUNT(入力試算シート!$F$22:$G$28)+COUNT(入力試算シート!F48:G50))+(IF(SUM(速算表!G9:G19)&gt;=2,税率登録シート!D14*(SUM(速算表!G9:G19)-1),0))</f>
        <v>430000</v>
      </c>
      <c r="I12" s="608"/>
      <c r="J12" s="255" t="s">
        <v>176</v>
      </c>
    </row>
    <row r="13" spans="1:35" ht="18.75" customHeight="1" thickBot="1" x14ac:dyDescent="0.2">
      <c r="A13" s="602" t="s">
        <v>121</v>
      </c>
      <c r="B13" s="603"/>
      <c r="C13" s="604"/>
      <c r="D13" s="605">
        <f>LOOKUP($D$2,$Q$17:$Q$28,W$17:W$28)</f>
        <v>560000</v>
      </c>
      <c r="E13" s="605"/>
      <c r="F13" s="605"/>
      <c r="G13" s="606"/>
      <c r="H13" s="607">
        <f>D28+D13*(COUNT(入力試算シート!$F$22:$G$28)+COUNT(入力試算シート!F48:G50))+(IF(SUM(速算表!G9:G19)&gt;=2,税率登録シート!D14*(SUM(速算表!G9:G19)-1),0))</f>
        <v>430000</v>
      </c>
      <c r="I13" s="608"/>
      <c r="J13" s="255" t="s">
        <v>176</v>
      </c>
    </row>
    <row r="14" spans="1:35" ht="18.75" customHeight="1" thickBot="1" x14ac:dyDescent="0.2">
      <c r="A14" s="602" t="s">
        <v>188</v>
      </c>
      <c r="B14" s="603"/>
      <c r="C14" s="604"/>
      <c r="D14" s="605">
        <f>LOOKUP($D$2,$Q$17:$Q$28,X$17:X$28)</f>
        <v>100000</v>
      </c>
      <c r="E14" s="605"/>
      <c r="F14" s="605"/>
      <c r="G14" s="606"/>
      <c r="P14" s="221" t="s">
        <v>153</v>
      </c>
    </row>
    <row r="15" spans="1:35" ht="18.75" customHeight="1" x14ac:dyDescent="0.15">
      <c r="A15" s="109"/>
      <c r="B15" s="109"/>
      <c r="C15" s="109"/>
      <c r="D15" s="109"/>
      <c r="E15" s="109"/>
      <c r="F15" s="109"/>
      <c r="G15" s="109"/>
      <c r="P15" s="620" t="s">
        <v>132</v>
      </c>
      <c r="Q15" s="616"/>
      <c r="R15" s="617" t="s">
        <v>71</v>
      </c>
      <c r="S15" s="618"/>
      <c r="T15" s="619"/>
      <c r="U15" s="615" t="s">
        <v>118</v>
      </c>
      <c r="V15" s="618"/>
      <c r="W15" s="619"/>
      <c r="X15" s="623"/>
      <c r="Y15" s="617" t="s">
        <v>147</v>
      </c>
      <c r="Z15" s="618"/>
      <c r="AA15" s="619"/>
      <c r="AB15" s="615" t="s">
        <v>148</v>
      </c>
      <c r="AC15" s="618"/>
      <c r="AD15" s="623"/>
      <c r="AE15" s="617" t="s">
        <v>149</v>
      </c>
      <c r="AF15" s="618"/>
      <c r="AG15" s="619"/>
      <c r="AH15" s="615" t="s">
        <v>122</v>
      </c>
      <c r="AI15" s="616"/>
    </row>
    <row r="16" spans="1:35" ht="18.75" customHeight="1" thickBot="1" x14ac:dyDescent="0.2">
      <c r="A16" s="675" t="s">
        <v>116</v>
      </c>
      <c r="B16" s="675"/>
      <c r="C16" s="675"/>
      <c r="D16" s="675"/>
      <c r="P16" s="621"/>
      <c r="Q16" s="622"/>
      <c r="R16" s="259" t="s">
        <v>23</v>
      </c>
      <c r="S16" s="260" t="s">
        <v>115</v>
      </c>
      <c r="T16" s="261" t="s">
        <v>24</v>
      </c>
      <c r="U16" s="262" t="s">
        <v>32</v>
      </c>
      <c r="V16" s="260" t="s">
        <v>120</v>
      </c>
      <c r="W16" s="260" t="s">
        <v>121</v>
      </c>
      <c r="X16" s="317" t="s">
        <v>199</v>
      </c>
      <c r="Y16" s="259" t="s">
        <v>114</v>
      </c>
      <c r="Z16" s="260" t="s">
        <v>70</v>
      </c>
      <c r="AA16" s="261" t="s">
        <v>1</v>
      </c>
      <c r="AB16" s="262" t="s">
        <v>114</v>
      </c>
      <c r="AC16" s="260" t="s">
        <v>70</v>
      </c>
      <c r="AD16" s="263" t="s">
        <v>1</v>
      </c>
      <c r="AE16" s="259" t="s">
        <v>114</v>
      </c>
      <c r="AF16" s="260" t="s">
        <v>70</v>
      </c>
      <c r="AG16" s="261" t="s">
        <v>1</v>
      </c>
      <c r="AH16" s="262" t="s">
        <v>151</v>
      </c>
      <c r="AI16" s="264" t="s">
        <v>150</v>
      </c>
    </row>
    <row r="17" spans="1:35" ht="18.75" customHeight="1" x14ac:dyDescent="0.15">
      <c r="A17" s="663" t="s">
        <v>23</v>
      </c>
      <c r="B17" s="664"/>
      <c r="C17" s="665"/>
      <c r="D17" s="679" t="s">
        <v>114</v>
      </c>
      <c r="E17" s="680"/>
      <c r="F17" s="681"/>
      <c r="G17" s="222">
        <f>LOOKUP(D2,Q17:Q28,Y17:Y28)</f>
        <v>8.7999999999999995E-2</v>
      </c>
      <c r="P17" s="265" t="s">
        <v>142</v>
      </c>
      <c r="Q17" s="266">
        <v>2014</v>
      </c>
      <c r="R17" s="270">
        <v>510000</v>
      </c>
      <c r="S17" s="271">
        <v>160000</v>
      </c>
      <c r="T17" s="272">
        <v>140000</v>
      </c>
      <c r="U17" s="273">
        <v>330000</v>
      </c>
      <c r="V17" s="271">
        <v>245000</v>
      </c>
      <c r="W17" s="271">
        <v>450000</v>
      </c>
      <c r="X17" s="274"/>
      <c r="Y17" s="275">
        <v>9.4E-2</v>
      </c>
      <c r="Z17" s="271">
        <v>24000</v>
      </c>
      <c r="AA17" s="272">
        <v>23700</v>
      </c>
      <c r="AB17" s="276">
        <v>2.7E-2</v>
      </c>
      <c r="AC17" s="271">
        <v>6550</v>
      </c>
      <c r="AD17" s="274">
        <v>6550</v>
      </c>
      <c r="AE17" s="275">
        <v>2.1000000000000001E-2</v>
      </c>
      <c r="AF17" s="271">
        <v>6740</v>
      </c>
      <c r="AG17" s="272">
        <v>5560</v>
      </c>
      <c r="AH17" s="273">
        <v>330000</v>
      </c>
      <c r="AI17" s="277">
        <v>150000</v>
      </c>
    </row>
    <row r="18" spans="1:35" ht="18.75" customHeight="1" x14ac:dyDescent="0.15">
      <c r="A18" s="666"/>
      <c r="B18" s="667"/>
      <c r="C18" s="668"/>
      <c r="D18" s="627" t="s">
        <v>70</v>
      </c>
      <c r="E18" s="628"/>
      <c r="F18" s="629"/>
      <c r="G18" s="223">
        <f>LOOKUP(D2,Q17:Q28,Z17:Z28)</f>
        <v>26400</v>
      </c>
      <c r="P18" s="267" t="s">
        <v>143</v>
      </c>
      <c r="Q18" s="268">
        <v>2015</v>
      </c>
      <c r="R18" s="303">
        <v>520000</v>
      </c>
      <c r="S18" s="296">
        <v>170000</v>
      </c>
      <c r="T18" s="306">
        <v>160000</v>
      </c>
      <c r="U18" s="281">
        <v>330000</v>
      </c>
      <c r="V18" s="279">
        <v>260000</v>
      </c>
      <c r="W18" s="296">
        <v>470000</v>
      </c>
      <c r="X18" s="297"/>
      <c r="Y18" s="305">
        <v>0.1</v>
      </c>
      <c r="Z18" s="296">
        <v>24600</v>
      </c>
      <c r="AA18" s="306">
        <v>24200</v>
      </c>
      <c r="AB18" s="284">
        <v>2.7E-2</v>
      </c>
      <c r="AC18" s="279">
        <v>6550</v>
      </c>
      <c r="AD18" s="282">
        <v>6550</v>
      </c>
      <c r="AE18" s="283">
        <v>2.1000000000000001E-2</v>
      </c>
      <c r="AF18" s="279">
        <v>6740</v>
      </c>
      <c r="AG18" s="280">
        <v>5560</v>
      </c>
      <c r="AH18" s="281">
        <v>330000</v>
      </c>
      <c r="AI18" s="285">
        <v>150000</v>
      </c>
    </row>
    <row r="19" spans="1:35" ht="18.75" customHeight="1" x14ac:dyDescent="0.15">
      <c r="A19" s="669"/>
      <c r="B19" s="670"/>
      <c r="C19" s="671"/>
      <c r="D19" s="624" t="s">
        <v>1</v>
      </c>
      <c r="E19" s="625"/>
      <c r="F19" s="626"/>
      <c r="G19" s="224">
        <f>LOOKUP(D2,Q17:Q28,AA17:AA28)</f>
        <v>29300</v>
      </c>
      <c r="P19" s="267" t="s">
        <v>144</v>
      </c>
      <c r="Q19" s="268">
        <v>2016</v>
      </c>
      <c r="R19" s="303">
        <v>540000</v>
      </c>
      <c r="S19" s="296">
        <v>190000</v>
      </c>
      <c r="T19" s="280">
        <v>160000</v>
      </c>
      <c r="U19" s="281">
        <v>330000</v>
      </c>
      <c r="V19" s="279">
        <v>265000</v>
      </c>
      <c r="W19" s="296">
        <v>480000</v>
      </c>
      <c r="X19" s="297"/>
      <c r="Y19" s="305">
        <v>0.105</v>
      </c>
      <c r="Z19" s="296">
        <v>29000</v>
      </c>
      <c r="AA19" s="306">
        <v>28500</v>
      </c>
      <c r="AB19" s="284">
        <v>2.7E-2</v>
      </c>
      <c r="AC19" s="279">
        <v>6550</v>
      </c>
      <c r="AD19" s="282">
        <v>6550</v>
      </c>
      <c r="AE19" s="283">
        <v>2.1000000000000001E-2</v>
      </c>
      <c r="AF19" s="279">
        <v>6740</v>
      </c>
      <c r="AG19" s="280">
        <v>5560</v>
      </c>
      <c r="AH19" s="281">
        <v>330000</v>
      </c>
      <c r="AI19" s="285">
        <v>150000</v>
      </c>
    </row>
    <row r="20" spans="1:35" ht="18.75" customHeight="1" x14ac:dyDescent="0.15">
      <c r="A20" s="672" t="s">
        <v>115</v>
      </c>
      <c r="B20" s="673"/>
      <c r="C20" s="674"/>
      <c r="D20" s="635" t="s">
        <v>114</v>
      </c>
      <c r="E20" s="636"/>
      <c r="F20" s="637"/>
      <c r="G20" s="225">
        <f>LOOKUP(D2,Q17:Q28,AB17:AB28)</f>
        <v>3.1E-2</v>
      </c>
      <c r="P20" s="267" t="s">
        <v>145</v>
      </c>
      <c r="Q20" s="268">
        <v>2017</v>
      </c>
      <c r="R20" s="278">
        <v>540000</v>
      </c>
      <c r="S20" s="279">
        <v>190000</v>
      </c>
      <c r="T20" s="280">
        <v>160000</v>
      </c>
      <c r="U20" s="281">
        <v>330000</v>
      </c>
      <c r="V20" s="279">
        <v>270000</v>
      </c>
      <c r="W20" s="296">
        <v>490000</v>
      </c>
      <c r="X20" s="297"/>
      <c r="Y20" s="283">
        <v>0.105</v>
      </c>
      <c r="Z20" s="279">
        <v>29000</v>
      </c>
      <c r="AA20" s="280">
        <v>28500</v>
      </c>
      <c r="AB20" s="284">
        <v>2.7E-2</v>
      </c>
      <c r="AC20" s="279">
        <v>6550</v>
      </c>
      <c r="AD20" s="282">
        <v>6550</v>
      </c>
      <c r="AE20" s="283">
        <v>2.1000000000000001E-2</v>
      </c>
      <c r="AF20" s="279">
        <v>6740</v>
      </c>
      <c r="AG20" s="280">
        <v>5560</v>
      </c>
      <c r="AH20" s="281">
        <v>330000</v>
      </c>
      <c r="AI20" s="285">
        <v>150000</v>
      </c>
    </row>
    <row r="21" spans="1:35" ht="18.75" customHeight="1" x14ac:dyDescent="0.15">
      <c r="A21" s="666"/>
      <c r="B21" s="667"/>
      <c r="C21" s="668"/>
      <c r="D21" s="627" t="s">
        <v>70</v>
      </c>
      <c r="E21" s="628"/>
      <c r="F21" s="629"/>
      <c r="G21" s="223">
        <f>LOOKUP(D2,Q17:Q28,AC17:AC28)</f>
        <v>9500</v>
      </c>
      <c r="P21" s="267" t="s">
        <v>146</v>
      </c>
      <c r="Q21" s="268">
        <v>2018</v>
      </c>
      <c r="R21" s="303">
        <v>580000</v>
      </c>
      <c r="S21" s="279">
        <v>190000</v>
      </c>
      <c r="T21" s="280">
        <v>160000</v>
      </c>
      <c r="U21" s="281">
        <v>330000</v>
      </c>
      <c r="V21" s="279">
        <v>275000</v>
      </c>
      <c r="W21" s="296">
        <v>500000</v>
      </c>
      <c r="X21" s="297"/>
      <c r="Y21" s="305">
        <v>7.6999999999999999E-2</v>
      </c>
      <c r="Z21" s="296">
        <v>23000</v>
      </c>
      <c r="AA21" s="306">
        <v>25500</v>
      </c>
      <c r="AB21" s="284">
        <v>2.7E-2</v>
      </c>
      <c r="AC21" s="296">
        <v>8300</v>
      </c>
      <c r="AD21" s="297">
        <v>9200</v>
      </c>
      <c r="AE21" s="305">
        <v>2.3E-2</v>
      </c>
      <c r="AF21" s="296">
        <v>8600</v>
      </c>
      <c r="AG21" s="306">
        <v>6500</v>
      </c>
      <c r="AH21" s="281">
        <v>330000</v>
      </c>
      <c r="AI21" s="285">
        <v>150000</v>
      </c>
    </row>
    <row r="22" spans="1:35" ht="18.75" customHeight="1" x14ac:dyDescent="0.15">
      <c r="A22" s="669"/>
      <c r="B22" s="670"/>
      <c r="C22" s="671"/>
      <c r="D22" s="624" t="s">
        <v>1</v>
      </c>
      <c r="E22" s="625"/>
      <c r="F22" s="626"/>
      <c r="G22" s="226">
        <f>LOOKUP(D2,Q17:Q28,AD17:AD28)</f>
        <v>10500</v>
      </c>
      <c r="P22" s="267" t="s">
        <v>152</v>
      </c>
      <c r="Q22" s="268">
        <v>2019</v>
      </c>
      <c r="R22" s="303">
        <v>610000</v>
      </c>
      <c r="S22" s="279">
        <v>190000</v>
      </c>
      <c r="T22" s="280">
        <v>160000</v>
      </c>
      <c r="U22" s="281">
        <v>330000</v>
      </c>
      <c r="V22" s="296">
        <v>280000</v>
      </c>
      <c r="W22" s="296">
        <v>510000</v>
      </c>
      <c r="X22" s="297"/>
      <c r="Y22" s="283">
        <v>7.6999999999999999E-2</v>
      </c>
      <c r="Z22" s="279">
        <v>23000</v>
      </c>
      <c r="AA22" s="280">
        <v>25500</v>
      </c>
      <c r="AB22" s="284">
        <v>2.7E-2</v>
      </c>
      <c r="AC22" s="279">
        <v>8300</v>
      </c>
      <c r="AD22" s="282">
        <v>9200</v>
      </c>
      <c r="AE22" s="283">
        <v>2.3E-2</v>
      </c>
      <c r="AF22" s="279">
        <v>8600</v>
      </c>
      <c r="AG22" s="280">
        <v>6500</v>
      </c>
      <c r="AH22" s="281">
        <v>330000</v>
      </c>
      <c r="AI22" s="285">
        <v>150000</v>
      </c>
    </row>
    <row r="23" spans="1:35" ht="18.75" customHeight="1" thickBot="1" x14ac:dyDescent="0.2">
      <c r="A23" s="666" t="s">
        <v>24</v>
      </c>
      <c r="B23" s="667"/>
      <c r="C23" s="668"/>
      <c r="D23" s="635" t="s">
        <v>114</v>
      </c>
      <c r="E23" s="636"/>
      <c r="F23" s="637"/>
      <c r="G23" s="227">
        <f>LOOKUP(D2,Q17:Q28,AE17:AE28)</f>
        <v>2.5999999999999999E-2</v>
      </c>
      <c r="P23" s="267" t="s">
        <v>161</v>
      </c>
      <c r="Q23" s="268">
        <v>2020</v>
      </c>
      <c r="R23" s="303">
        <v>630000</v>
      </c>
      <c r="S23" s="279">
        <v>190000</v>
      </c>
      <c r="T23" s="306">
        <v>170000</v>
      </c>
      <c r="U23" s="281">
        <v>330000</v>
      </c>
      <c r="V23" s="296">
        <v>285000</v>
      </c>
      <c r="W23" s="296">
        <v>520000</v>
      </c>
      <c r="X23" s="297"/>
      <c r="Y23" s="283">
        <v>7.6999999999999999E-2</v>
      </c>
      <c r="Z23" s="279">
        <v>23000</v>
      </c>
      <c r="AA23" s="280">
        <v>25500</v>
      </c>
      <c r="AB23" s="284">
        <v>2.7E-2</v>
      </c>
      <c r="AC23" s="279">
        <v>8300</v>
      </c>
      <c r="AD23" s="282">
        <v>9200</v>
      </c>
      <c r="AE23" s="283">
        <v>2.3E-2</v>
      </c>
      <c r="AF23" s="279">
        <v>8600</v>
      </c>
      <c r="AG23" s="280">
        <v>6500</v>
      </c>
      <c r="AH23" s="281">
        <v>330000</v>
      </c>
      <c r="AI23" s="285">
        <v>150000</v>
      </c>
    </row>
    <row r="24" spans="1:35" ht="18.75" customHeight="1" thickBot="1" x14ac:dyDescent="0.2">
      <c r="A24" s="666"/>
      <c r="B24" s="667"/>
      <c r="C24" s="668"/>
      <c r="D24" s="627" t="s">
        <v>70</v>
      </c>
      <c r="E24" s="628"/>
      <c r="F24" s="629"/>
      <c r="G24" s="223">
        <f>LOOKUP(D2,Q17:Q28,AF17:AF28)</f>
        <v>9800</v>
      </c>
      <c r="M24" s="609" t="s">
        <v>168</v>
      </c>
      <c r="N24" s="610"/>
      <c r="O24" s="250" t="s">
        <v>167</v>
      </c>
      <c r="P24" s="267" t="s">
        <v>162</v>
      </c>
      <c r="Q24" s="268">
        <v>2021</v>
      </c>
      <c r="R24" s="278">
        <v>630000</v>
      </c>
      <c r="S24" s="279">
        <v>190000</v>
      </c>
      <c r="T24" s="280">
        <v>170000</v>
      </c>
      <c r="U24" s="295">
        <v>430000</v>
      </c>
      <c r="V24" s="279">
        <v>285000</v>
      </c>
      <c r="W24" s="279">
        <v>520000</v>
      </c>
      <c r="X24" s="297">
        <v>100000</v>
      </c>
      <c r="Y24" s="283">
        <v>7.6999999999999999E-2</v>
      </c>
      <c r="Z24" s="279">
        <v>23000</v>
      </c>
      <c r="AA24" s="280">
        <v>25500</v>
      </c>
      <c r="AB24" s="284">
        <v>2.7E-2</v>
      </c>
      <c r="AC24" s="279">
        <v>8300</v>
      </c>
      <c r="AD24" s="282">
        <v>9200</v>
      </c>
      <c r="AE24" s="283">
        <v>2.3E-2</v>
      </c>
      <c r="AF24" s="279">
        <v>8600</v>
      </c>
      <c r="AG24" s="280">
        <v>6500</v>
      </c>
      <c r="AH24" s="281">
        <v>430000</v>
      </c>
      <c r="AI24" s="285">
        <v>150000</v>
      </c>
    </row>
    <row r="25" spans="1:35" ht="18.75" customHeight="1" thickBot="1" x14ac:dyDescent="0.2">
      <c r="A25" s="676"/>
      <c r="B25" s="677"/>
      <c r="C25" s="678"/>
      <c r="D25" s="630" t="s">
        <v>1</v>
      </c>
      <c r="E25" s="631"/>
      <c r="F25" s="632"/>
      <c r="G25" s="228">
        <f>LOOKUP(D2,Q17:Q28,AG17:AG28)</f>
        <v>7400</v>
      </c>
      <c r="M25" s="611"/>
      <c r="N25" s="612"/>
      <c r="P25" s="267" t="s">
        <v>163</v>
      </c>
      <c r="Q25" s="268">
        <v>2022</v>
      </c>
      <c r="R25" s="303">
        <v>650000</v>
      </c>
      <c r="S25" s="296">
        <v>200000</v>
      </c>
      <c r="T25" s="280">
        <v>170000</v>
      </c>
      <c r="U25" s="281">
        <v>430000</v>
      </c>
      <c r="V25" s="279">
        <v>285000</v>
      </c>
      <c r="W25" s="279">
        <v>520000</v>
      </c>
      <c r="X25" s="282">
        <v>100000</v>
      </c>
      <c r="Y25" s="283">
        <v>7.6999999999999999E-2</v>
      </c>
      <c r="Z25" s="279">
        <v>23000</v>
      </c>
      <c r="AA25" s="280">
        <v>25500</v>
      </c>
      <c r="AB25" s="284">
        <v>2.7E-2</v>
      </c>
      <c r="AC25" s="279">
        <v>8300</v>
      </c>
      <c r="AD25" s="282">
        <v>9200</v>
      </c>
      <c r="AE25" s="283">
        <v>2.3E-2</v>
      </c>
      <c r="AF25" s="279">
        <v>8600</v>
      </c>
      <c r="AG25" s="280">
        <v>6500</v>
      </c>
      <c r="AH25" s="281">
        <v>430000</v>
      </c>
      <c r="AI25" s="285">
        <v>150000</v>
      </c>
    </row>
    <row r="26" spans="1:35" ht="18.75" customHeight="1" x14ac:dyDescent="0.15">
      <c r="M26" s="611"/>
      <c r="N26" s="612"/>
      <c r="P26" s="267" t="s">
        <v>164</v>
      </c>
      <c r="Q26" s="268">
        <v>2023</v>
      </c>
      <c r="R26" s="278">
        <v>650000</v>
      </c>
      <c r="S26" s="296">
        <v>220000</v>
      </c>
      <c r="T26" s="280">
        <v>170000</v>
      </c>
      <c r="U26" s="281">
        <v>430000</v>
      </c>
      <c r="V26" s="296">
        <v>290000</v>
      </c>
      <c r="W26" s="296">
        <v>535000</v>
      </c>
      <c r="X26" s="282">
        <v>100000</v>
      </c>
      <c r="Y26" s="283">
        <v>7.6999999999999999E-2</v>
      </c>
      <c r="Z26" s="279">
        <v>23000</v>
      </c>
      <c r="AA26" s="280">
        <v>25500</v>
      </c>
      <c r="AB26" s="284">
        <v>2.7E-2</v>
      </c>
      <c r="AC26" s="279">
        <v>8300</v>
      </c>
      <c r="AD26" s="282">
        <v>9200</v>
      </c>
      <c r="AE26" s="283">
        <v>2.3E-2</v>
      </c>
      <c r="AF26" s="279">
        <v>8600</v>
      </c>
      <c r="AG26" s="280">
        <v>6500</v>
      </c>
      <c r="AH26" s="281">
        <v>430000</v>
      </c>
      <c r="AI26" s="285">
        <v>150000</v>
      </c>
    </row>
    <row r="27" spans="1:35" ht="18.75" customHeight="1" thickBot="1" x14ac:dyDescent="0.2">
      <c r="A27" s="656" t="s">
        <v>122</v>
      </c>
      <c r="B27" s="656"/>
      <c r="M27" s="611"/>
      <c r="N27" s="612"/>
      <c r="P27" s="267" t="s">
        <v>165</v>
      </c>
      <c r="Q27" s="268">
        <v>2024</v>
      </c>
      <c r="R27" s="278">
        <v>650000</v>
      </c>
      <c r="S27" s="296">
        <v>240000</v>
      </c>
      <c r="T27" s="280">
        <v>170000</v>
      </c>
      <c r="U27" s="281">
        <v>430000</v>
      </c>
      <c r="V27" s="296">
        <v>295000</v>
      </c>
      <c r="W27" s="296">
        <v>545000</v>
      </c>
      <c r="X27" s="282">
        <v>100000</v>
      </c>
      <c r="Y27" s="305">
        <v>8.7999999999999995E-2</v>
      </c>
      <c r="Z27" s="296">
        <v>26400</v>
      </c>
      <c r="AA27" s="306">
        <v>29300</v>
      </c>
      <c r="AB27" s="331">
        <v>3.1E-2</v>
      </c>
      <c r="AC27" s="296">
        <v>9500</v>
      </c>
      <c r="AD27" s="297">
        <v>10500</v>
      </c>
      <c r="AE27" s="305">
        <v>2.5999999999999999E-2</v>
      </c>
      <c r="AF27" s="296">
        <v>9800</v>
      </c>
      <c r="AG27" s="306">
        <v>7400</v>
      </c>
      <c r="AH27" s="281">
        <v>430000</v>
      </c>
      <c r="AI27" s="285">
        <v>150000</v>
      </c>
    </row>
    <row r="28" spans="1:35" ht="18.75" customHeight="1" x14ac:dyDescent="0.15">
      <c r="A28" s="648" t="s">
        <v>123</v>
      </c>
      <c r="B28" s="649"/>
      <c r="C28" s="650"/>
      <c r="D28" s="657">
        <f>LOOKUP(D2,Q17:Q28,AH17:AH28)</f>
        <v>430000</v>
      </c>
      <c r="E28" s="658"/>
      <c r="F28" s="658"/>
      <c r="G28" s="659"/>
      <c r="M28" s="611"/>
      <c r="N28" s="612"/>
      <c r="P28" s="267" t="s">
        <v>166</v>
      </c>
      <c r="Q28" s="268">
        <v>2025</v>
      </c>
      <c r="R28" s="327">
        <v>660000</v>
      </c>
      <c r="S28" s="315">
        <v>260000</v>
      </c>
      <c r="T28" s="312">
        <v>170000</v>
      </c>
      <c r="U28" s="313">
        <v>430000</v>
      </c>
      <c r="V28" s="315">
        <v>305000</v>
      </c>
      <c r="W28" s="315">
        <v>560000</v>
      </c>
      <c r="X28" s="314">
        <v>100000</v>
      </c>
      <c r="Y28" s="328">
        <v>8.7999999999999995E-2</v>
      </c>
      <c r="Z28" s="329">
        <v>26400</v>
      </c>
      <c r="AA28" s="312">
        <v>29300</v>
      </c>
      <c r="AB28" s="330">
        <v>3.1E-2</v>
      </c>
      <c r="AC28" s="329">
        <v>9500</v>
      </c>
      <c r="AD28" s="314">
        <v>10500</v>
      </c>
      <c r="AE28" s="328">
        <v>2.5999999999999999E-2</v>
      </c>
      <c r="AF28" s="329">
        <v>9800</v>
      </c>
      <c r="AG28" s="312">
        <v>7400</v>
      </c>
      <c r="AH28" s="313">
        <v>430000</v>
      </c>
      <c r="AI28" s="316">
        <v>150000</v>
      </c>
    </row>
    <row r="29" spans="1:35" ht="19.5" customHeight="1" thickBot="1" x14ac:dyDescent="0.2">
      <c r="A29" s="653" t="s">
        <v>124</v>
      </c>
      <c r="B29" s="654"/>
      <c r="C29" s="655"/>
      <c r="D29" s="660">
        <f>LOOKUP(D2,Q17:Q28,AI17:AI28)</f>
        <v>150000</v>
      </c>
      <c r="E29" s="661"/>
      <c r="F29" s="661"/>
      <c r="G29" s="662"/>
      <c r="M29" s="611"/>
      <c r="N29" s="612"/>
      <c r="P29" s="267" t="s">
        <v>189</v>
      </c>
      <c r="Q29" s="268">
        <v>2026</v>
      </c>
      <c r="R29" s="278"/>
      <c r="S29" s="279"/>
      <c r="T29" s="280"/>
      <c r="U29" s="295"/>
      <c r="V29" s="296"/>
      <c r="W29" s="296"/>
      <c r="X29" s="297"/>
      <c r="Y29" s="283"/>
      <c r="Z29" s="279"/>
      <c r="AA29" s="280"/>
      <c r="AB29" s="284"/>
      <c r="AC29" s="279"/>
      <c r="AD29" s="282"/>
      <c r="AE29" s="283"/>
      <c r="AF29" s="279"/>
      <c r="AG29" s="280"/>
      <c r="AH29" s="281"/>
      <c r="AI29" s="285"/>
    </row>
    <row r="30" spans="1:35" ht="18.75" customHeight="1" thickBot="1" x14ac:dyDescent="0.2">
      <c r="M30" s="613"/>
      <c r="N30" s="614"/>
      <c r="P30" s="267" t="s">
        <v>190</v>
      </c>
      <c r="Q30" s="268">
        <v>2027</v>
      </c>
      <c r="R30" s="278"/>
      <c r="S30" s="279"/>
      <c r="T30" s="280"/>
      <c r="U30" s="295"/>
      <c r="V30" s="296"/>
      <c r="W30" s="296"/>
      <c r="X30" s="297"/>
      <c r="Y30" s="283"/>
      <c r="Z30" s="279"/>
      <c r="AA30" s="280"/>
      <c r="AB30" s="284"/>
      <c r="AC30" s="279"/>
      <c r="AD30" s="282"/>
      <c r="AE30" s="283"/>
      <c r="AF30" s="279"/>
      <c r="AG30" s="280"/>
      <c r="AH30" s="281"/>
      <c r="AI30" s="285"/>
    </row>
    <row r="31" spans="1:35" ht="18.75" customHeight="1" x14ac:dyDescent="0.15">
      <c r="P31" s="267" t="s">
        <v>191</v>
      </c>
      <c r="Q31" s="268">
        <v>2028</v>
      </c>
      <c r="R31" s="278"/>
      <c r="S31" s="279"/>
      <c r="T31" s="280"/>
      <c r="U31" s="295"/>
      <c r="V31" s="296"/>
      <c r="W31" s="296"/>
      <c r="X31" s="297"/>
      <c r="Y31" s="283"/>
      <c r="Z31" s="279"/>
      <c r="AA31" s="280"/>
      <c r="AB31" s="284"/>
      <c r="AC31" s="279"/>
      <c r="AD31" s="282"/>
      <c r="AE31" s="283"/>
      <c r="AF31" s="279"/>
      <c r="AG31" s="280"/>
      <c r="AH31" s="281"/>
      <c r="AI31" s="285"/>
    </row>
    <row r="32" spans="1:35" ht="18.75" customHeight="1" x14ac:dyDescent="0.15">
      <c r="P32" s="267" t="s">
        <v>192</v>
      </c>
      <c r="Q32" s="268">
        <v>2029</v>
      </c>
      <c r="R32" s="278"/>
      <c r="S32" s="279"/>
      <c r="T32" s="280"/>
      <c r="U32" s="295"/>
      <c r="V32" s="296"/>
      <c r="W32" s="296"/>
      <c r="X32" s="297"/>
      <c r="Y32" s="283"/>
      <c r="Z32" s="279"/>
      <c r="AA32" s="280"/>
      <c r="AB32" s="284"/>
      <c r="AC32" s="279"/>
      <c r="AD32" s="282"/>
      <c r="AE32" s="283"/>
      <c r="AF32" s="279"/>
      <c r="AG32" s="280"/>
      <c r="AH32" s="281"/>
      <c r="AI32" s="285"/>
    </row>
    <row r="33" spans="16:35" ht="18.75" customHeight="1" x14ac:dyDescent="0.15">
      <c r="P33" s="267" t="s">
        <v>193</v>
      </c>
      <c r="Q33" s="268">
        <v>2030</v>
      </c>
      <c r="R33" s="278"/>
      <c r="S33" s="279"/>
      <c r="T33" s="280"/>
      <c r="U33" s="295"/>
      <c r="V33" s="296"/>
      <c r="W33" s="296"/>
      <c r="X33" s="297"/>
      <c r="Y33" s="283"/>
      <c r="Z33" s="279"/>
      <c r="AA33" s="280"/>
      <c r="AB33" s="284"/>
      <c r="AC33" s="279"/>
      <c r="AD33" s="282"/>
      <c r="AE33" s="283"/>
      <c r="AF33" s="279"/>
      <c r="AG33" s="280"/>
      <c r="AH33" s="281"/>
      <c r="AI33" s="285"/>
    </row>
    <row r="34" spans="16:35" ht="18.75" customHeight="1" x14ac:dyDescent="0.15">
      <c r="P34" s="267" t="s">
        <v>194</v>
      </c>
      <c r="Q34" s="268">
        <v>2031</v>
      </c>
      <c r="R34" s="278"/>
      <c r="S34" s="279"/>
      <c r="T34" s="280"/>
      <c r="U34" s="295"/>
      <c r="V34" s="296"/>
      <c r="W34" s="296"/>
      <c r="X34" s="297"/>
      <c r="Y34" s="283"/>
      <c r="Z34" s="279"/>
      <c r="AA34" s="280"/>
      <c r="AB34" s="284"/>
      <c r="AC34" s="279"/>
      <c r="AD34" s="282"/>
      <c r="AE34" s="283"/>
      <c r="AF34" s="279"/>
      <c r="AG34" s="280"/>
      <c r="AH34" s="281"/>
      <c r="AI34" s="285"/>
    </row>
    <row r="35" spans="16:35" ht="18.75" customHeight="1" x14ac:dyDescent="0.15">
      <c r="P35" s="267" t="s">
        <v>195</v>
      </c>
      <c r="Q35" s="268">
        <v>2032</v>
      </c>
      <c r="R35" s="278"/>
      <c r="S35" s="279"/>
      <c r="T35" s="280"/>
      <c r="U35" s="295"/>
      <c r="V35" s="296"/>
      <c r="W35" s="296"/>
      <c r="X35" s="297"/>
      <c r="Y35" s="283"/>
      <c r="Z35" s="279"/>
      <c r="AA35" s="280"/>
      <c r="AB35" s="284"/>
      <c r="AC35" s="279"/>
      <c r="AD35" s="282"/>
      <c r="AE35" s="283"/>
      <c r="AF35" s="279"/>
      <c r="AG35" s="280"/>
      <c r="AH35" s="281"/>
      <c r="AI35" s="285"/>
    </row>
    <row r="36" spans="16:35" ht="18.75" customHeight="1" x14ac:dyDescent="0.15">
      <c r="P36" s="267" t="s">
        <v>196</v>
      </c>
      <c r="Q36" s="268">
        <v>2033</v>
      </c>
      <c r="R36" s="278"/>
      <c r="S36" s="279"/>
      <c r="T36" s="280"/>
      <c r="U36" s="295"/>
      <c r="V36" s="296"/>
      <c r="W36" s="296"/>
      <c r="X36" s="297"/>
      <c r="Y36" s="283"/>
      <c r="Z36" s="279"/>
      <c r="AA36" s="280"/>
      <c r="AB36" s="284"/>
      <c r="AC36" s="279"/>
      <c r="AD36" s="282"/>
      <c r="AE36" s="283"/>
      <c r="AF36" s="279"/>
      <c r="AG36" s="280"/>
      <c r="AH36" s="281"/>
      <c r="AI36" s="285"/>
    </row>
    <row r="37" spans="16:35" ht="18.75" customHeight="1" x14ac:dyDescent="0.15">
      <c r="P37" s="267" t="s">
        <v>197</v>
      </c>
      <c r="Q37" s="268">
        <v>2034</v>
      </c>
      <c r="R37" s="278"/>
      <c r="S37" s="279"/>
      <c r="T37" s="280"/>
      <c r="U37" s="295"/>
      <c r="V37" s="296"/>
      <c r="W37" s="296"/>
      <c r="X37" s="297"/>
      <c r="Y37" s="283"/>
      <c r="Z37" s="279"/>
      <c r="AA37" s="280"/>
      <c r="AB37" s="284"/>
      <c r="AC37" s="279"/>
      <c r="AD37" s="282"/>
      <c r="AE37" s="283"/>
      <c r="AF37" s="279"/>
      <c r="AG37" s="280"/>
      <c r="AH37" s="281"/>
      <c r="AI37" s="285"/>
    </row>
    <row r="38" spans="16:35" ht="18.75" customHeight="1" thickBot="1" x14ac:dyDescent="0.2">
      <c r="P38" s="310" t="s">
        <v>198</v>
      </c>
      <c r="Q38" s="264">
        <v>2035</v>
      </c>
      <c r="R38" s="286"/>
      <c r="S38" s="287"/>
      <c r="T38" s="288"/>
      <c r="U38" s="299"/>
      <c r="V38" s="300"/>
      <c r="W38" s="300"/>
      <c r="X38" s="301"/>
      <c r="Y38" s="290"/>
      <c r="Z38" s="287"/>
      <c r="AA38" s="288"/>
      <c r="AB38" s="291"/>
      <c r="AC38" s="287"/>
      <c r="AD38" s="289"/>
      <c r="AE38" s="290"/>
      <c r="AF38" s="287"/>
      <c r="AG38" s="288"/>
      <c r="AH38" s="304"/>
      <c r="AI38" s="292"/>
    </row>
    <row r="39" spans="16:35" ht="18.75" customHeight="1" x14ac:dyDescent="0.15">
      <c r="P39" s="269"/>
      <c r="Q39" s="269"/>
      <c r="R39" s="269"/>
      <c r="S39" s="269"/>
      <c r="T39" s="269"/>
      <c r="U39" s="269"/>
      <c r="V39" s="269"/>
      <c r="W39" s="269"/>
      <c r="X39" s="269"/>
      <c r="Y39" s="269"/>
      <c r="Z39" s="269"/>
      <c r="AA39" s="269"/>
      <c r="AB39" s="269"/>
      <c r="AC39" s="269"/>
      <c r="AD39" s="269"/>
      <c r="AE39" s="269"/>
      <c r="AF39" s="269"/>
      <c r="AG39" s="269"/>
      <c r="AH39" s="269"/>
      <c r="AI39" s="269"/>
    </row>
    <row r="40" spans="16:35" ht="18.75" customHeight="1" x14ac:dyDescent="0.15">
      <c r="P40" s="258"/>
      <c r="Q40" s="258"/>
      <c r="R40" s="258"/>
      <c r="S40" s="258"/>
      <c r="T40" s="258"/>
      <c r="U40" s="258"/>
      <c r="V40" s="258"/>
      <c r="W40" s="258"/>
      <c r="X40" s="258"/>
      <c r="Y40" s="258"/>
      <c r="Z40" s="258"/>
      <c r="AA40" s="258"/>
      <c r="AB40" s="258"/>
      <c r="AC40" s="258"/>
      <c r="AD40" s="258"/>
      <c r="AE40" s="258"/>
      <c r="AF40" s="258"/>
      <c r="AG40" s="258"/>
      <c r="AH40" s="258"/>
      <c r="AI40" s="258"/>
    </row>
    <row r="41" spans="16:35" ht="18.75" customHeight="1" x14ac:dyDescent="0.15">
      <c r="P41" s="258"/>
      <c r="Q41" s="258"/>
      <c r="R41" s="258"/>
      <c r="S41" s="258"/>
      <c r="T41" s="258"/>
      <c r="U41" s="258"/>
      <c r="V41" s="258"/>
      <c r="W41" s="258"/>
      <c r="X41" s="258"/>
      <c r="Y41" s="258"/>
      <c r="Z41" s="258"/>
      <c r="AA41" s="258"/>
      <c r="AB41" s="258"/>
      <c r="AC41" s="258"/>
      <c r="AD41" s="258"/>
      <c r="AE41" s="258"/>
      <c r="AF41" s="258"/>
      <c r="AG41" s="258"/>
      <c r="AH41" s="258"/>
      <c r="AI41" s="258"/>
    </row>
    <row r="42" spans="16:35" ht="18.75" customHeight="1" x14ac:dyDescent="0.15">
      <c r="P42" s="258"/>
      <c r="Q42" s="258"/>
      <c r="R42" s="258"/>
      <c r="S42" s="258"/>
      <c r="T42" s="258"/>
      <c r="U42" s="258"/>
      <c r="V42" s="258"/>
      <c r="W42" s="258"/>
      <c r="X42" s="258"/>
      <c r="Y42" s="258"/>
      <c r="Z42" s="258"/>
      <c r="AA42" s="258"/>
      <c r="AB42" s="258"/>
      <c r="AC42" s="258"/>
      <c r="AD42" s="258"/>
      <c r="AE42" s="258"/>
      <c r="AF42" s="258"/>
      <c r="AG42" s="258"/>
      <c r="AH42" s="258"/>
      <c r="AI42" s="258"/>
    </row>
    <row r="43" spans="16:35" ht="18.75" customHeight="1" x14ac:dyDescent="0.15">
      <c r="P43" s="258"/>
      <c r="Q43" s="258"/>
      <c r="R43" s="258"/>
      <c r="S43" s="258"/>
      <c r="T43" s="258"/>
      <c r="U43" s="258"/>
      <c r="V43" s="258"/>
      <c r="W43" s="258"/>
      <c r="X43" s="258"/>
      <c r="Y43" s="258"/>
      <c r="Z43" s="258"/>
      <c r="AA43" s="258"/>
      <c r="AB43" s="258"/>
      <c r="AC43" s="258"/>
      <c r="AD43" s="258"/>
      <c r="AE43" s="258"/>
      <c r="AF43" s="258"/>
      <c r="AG43" s="258"/>
      <c r="AH43" s="258"/>
      <c r="AI43" s="258"/>
    </row>
  </sheetData>
  <sheetProtection formatCells="0" selectLockedCells="1"/>
  <mergeCells count="54">
    <mergeCell ref="K6:L8"/>
    <mergeCell ref="H2:H3"/>
    <mergeCell ref="H6:H8"/>
    <mergeCell ref="I3:J3"/>
    <mergeCell ref="A2:C2"/>
    <mergeCell ref="D2:F2"/>
    <mergeCell ref="I2:J2"/>
    <mergeCell ref="B4:H4"/>
    <mergeCell ref="A6:C6"/>
    <mergeCell ref="A5:E5"/>
    <mergeCell ref="I6:J8"/>
    <mergeCell ref="A8:C8"/>
    <mergeCell ref="D6:G6"/>
    <mergeCell ref="D7:G7"/>
    <mergeCell ref="D8:G8"/>
    <mergeCell ref="A28:C28"/>
    <mergeCell ref="D12:G12"/>
    <mergeCell ref="D13:G13"/>
    <mergeCell ref="A29:C29"/>
    <mergeCell ref="A27:B27"/>
    <mergeCell ref="D28:G28"/>
    <mergeCell ref="D29:G29"/>
    <mergeCell ref="D21:F21"/>
    <mergeCell ref="D22:F22"/>
    <mergeCell ref="D23:F23"/>
    <mergeCell ref="A17:C19"/>
    <mergeCell ref="A20:C22"/>
    <mergeCell ref="A16:D16"/>
    <mergeCell ref="A23:C25"/>
    <mergeCell ref="D17:F17"/>
    <mergeCell ref="D18:F18"/>
    <mergeCell ref="A10:E10"/>
    <mergeCell ref="A11:C11"/>
    <mergeCell ref="A12:C12"/>
    <mergeCell ref="A7:C7"/>
    <mergeCell ref="A13:C13"/>
    <mergeCell ref="D19:F19"/>
    <mergeCell ref="D24:F24"/>
    <mergeCell ref="D25:F25"/>
    <mergeCell ref="D11:G11"/>
    <mergeCell ref="D20:F20"/>
    <mergeCell ref="M24:N30"/>
    <mergeCell ref="AH15:AI15"/>
    <mergeCell ref="R15:T15"/>
    <mergeCell ref="P15:Q16"/>
    <mergeCell ref="U15:X15"/>
    <mergeCell ref="Y15:AA15"/>
    <mergeCell ref="AB15:AD15"/>
    <mergeCell ref="AE15:AG15"/>
    <mergeCell ref="A14:C14"/>
    <mergeCell ref="D14:G14"/>
    <mergeCell ref="H11:I11"/>
    <mergeCell ref="H12:I12"/>
    <mergeCell ref="H13:I13"/>
  </mergeCells>
  <phoneticPr fontId="2"/>
  <pageMargins left="0.59055118110236227" right="0.59055118110236227" top="0.59055118110236227" bottom="0.59055118110236227" header="0.39370078740157483"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60"/>
  <sheetViews>
    <sheetView workbookViewId="0"/>
  </sheetViews>
  <sheetFormatPr defaultRowHeight="13.5" x14ac:dyDescent="0.15"/>
  <cols>
    <col min="1" max="1" width="7.5" customWidth="1"/>
    <col min="2" max="2" width="4.25" customWidth="1"/>
    <col min="3" max="7" width="11.25" customWidth="1"/>
    <col min="8" max="8" width="4.375" customWidth="1"/>
    <col min="9" max="9" width="6.875" customWidth="1"/>
    <col min="10" max="10" width="4.375" customWidth="1"/>
    <col min="11" max="11" width="6.875" customWidth="1"/>
  </cols>
  <sheetData>
    <row r="1" spans="1:14" ht="18.75" customHeight="1" x14ac:dyDescent="0.2">
      <c r="A1" s="102" t="s">
        <v>30</v>
      </c>
      <c r="B1" s="64"/>
      <c r="C1" s="65"/>
      <c r="D1" s="64"/>
      <c r="E1" s="64"/>
      <c r="F1" s="64"/>
      <c r="G1" s="64"/>
      <c r="H1" s="64"/>
      <c r="I1" s="64"/>
      <c r="J1" s="64"/>
      <c r="K1" s="64"/>
    </row>
    <row r="2" spans="1:14" ht="14.25" customHeight="1" thickBot="1" x14ac:dyDescent="0.2">
      <c r="A2" s="64"/>
      <c r="B2" s="64"/>
      <c r="C2" s="64"/>
      <c r="D2" s="64"/>
      <c r="E2" s="64"/>
      <c r="F2" s="64"/>
      <c r="G2" s="64"/>
      <c r="H2" s="784" t="s">
        <v>17</v>
      </c>
      <c r="I2" s="784"/>
      <c r="J2" s="785" t="s">
        <v>18</v>
      </c>
      <c r="K2" s="785"/>
    </row>
    <row r="3" spans="1:14" ht="14.25" customHeight="1" thickBot="1" x14ac:dyDescent="0.2">
      <c r="A3" s="768" t="s">
        <v>23</v>
      </c>
      <c r="B3" s="769"/>
      <c r="C3" s="64"/>
      <c r="D3" s="106"/>
      <c r="E3" s="107"/>
      <c r="F3" s="107"/>
      <c r="G3" s="107"/>
      <c r="H3" s="784"/>
      <c r="I3" s="784"/>
      <c r="J3" s="785"/>
      <c r="K3" s="785"/>
    </row>
    <row r="4" spans="1:14" ht="14.25" customHeight="1" thickBot="1" x14ac:dyDescent="0.2">
      <c r="A4" s="770"/>
      <c r="B4" s="771"/>
      <c r="C4" s="64"/>
      <c r="D4" s="66" t="s">
        <v>28</v>
      </c>
      <c r="E4" s="772" t="str">
        <f>"(前年の課税総所得-"&amp;TEXT(税率登録シート!D28,"#,##0円")&amp;")×"&amp;TEXT(税率登録シート!G17,"#.#0%")&amp;""</f>
        <v>(前年の課税総所得-430,000円)×8.80%</v>
      </c>
      <c r="F4" s="773"/>
      <c r="G4" s="774"/>
      <c r="H4" s="197" t="str">
        <f>IF(速算表!$F$20&gt;税率登録シート!H13,"■","□")</f>
        <v>□</v>
      </c>
      <c r="I4" s="69" t="s">
        <v>19</v>
      </c>
      <c r="J4" s="68" t="str">
        <f>IF(OR(入力試算シート!Z41="旧国保",SUM(入力試算シート!F48:G50)&gt;0),"■","□")</f>
        <v>□</v>
      </c>
      <c r="K4" s="70" t="s">
        <v>20</v>
      </c>
    </row>
    <row r="5" spans="1:14" ht="14.25" customHeight="1" x14ac:dyDescent="0.15">
      <c r="A5" s="64"/>
      <c r="B5" s="64"/>
      <c r="C5" s="64"/>
      <c r="D5" s="67" t="s">
        <v>0</v>
      </c>
      <c r="E5" s="716" t="str">
        <f>"加入者１人につき"&amp;TEXT(税率登録シート!G18,"#,##0円")</f>
        <v>加入者１人につき26,400円</v>
      </c>
      <c r="F5" s="717"/>
      <c r="G5" s="718"/>
      <c r="H5" s="197" t="str">
        <f>IF(速算表!$F$20&lt;=税率登録シート!H11,"■","□")</f>
        <v>■</v>
      </c>
      <c r="I5" s="69" t="s">
        <v>32</v>
      </c>
      <c r="J5" s="68" t="str">
        <f>IF(J4="□","■","□")</f>
        <v>■</v>
      </c>
      <c r="K5" s="70" t="s">
        <v>21</v>
      </c>
    </row>
    <row r="6" spans="1:14" ht="14.25" customHeight="1" x14ac:dyDescent="0.15">
      <c r="A6" s="64"/>
      <c r="B6" s="64"/>
      <c r="C6" s="64"/>
      <c r="D6" s="67" t="s">
        <v>1</v>
      </c>
      <c r="E6" s="716" t="str">
        <f>"１世帯につき"&amp;TEXT(税率登録シート!G19,"#,##0円")</f>
        <v>１世帯につき29,300円</v>
      </c>
      <c r="F6" s="717"/>
      <c r="G6" s="718"/>
      <c r="H6" s="197" t="str">
        <f>IF(AND(速算表!$F$20&gt;税率登録シート!H11,速算表!$F$20&lt;=税率登録シート!H12),"■","□")</f>
        <v>□</v>
      </c>
      <c r="I6" s="69" t="s">
        <v>33</v>
      </c>
      <c r="J6" s="64"/>
      <c r="K6" s="64"/>
    </row>
    <row r="7" spans="1:14" ht="14.25" customHeight="1" thickBot="1" x14ac:dyDescent="0.2">
      <c r="A7" s="119" t="s">
        <v>68</v>
      </c>
      <c r="B7" s="120">
        <f>COUNT(G11:G17)</f>
        <v>0</v>
      </c>
      <c r="C7" s="120" t="s">
        <v>66</v>
      </c>
      <c r="D7" s="71" t="s">
        <v>31</v>
      </c>
      <c r="E7" s="781">
        <f>税率登録シート!D6</f>
        <v>660000</v>
      </c>
      <c r="F7" s="782"/>
      <c r="G7" s="783"/>
      <c r="H7" s="197" t="str">
        <f>IF(AND(速算表!$F$20&gt;税率登録シート!H12,速算表!$F$20&lt;=税率登録シート!H13),"■","□")</f>
        <v>□</v>
      </c>
      <c r="I7" s="69" t="s">
        <v>34</v>
      </c>
      <c r="J7" s="64"/>
      <c r="K7" s="64"/>
    </row>
    <row r="8" spans="1:14" ht="14.25" customHeight="1" thickBot="1" x14ac:dyDescent="0.2">
      <c r="A8" s="69" t="s">
        <v>182</v>
      </c>
      <c r="B8" s="64">
        <f>COUNTIF(B11:B17,"&lt;=5")</f>
        <v>0</v>
      </c>
      <c r="C8" s="311"/>
      <c r="D8" s="64"/>
      <c r="E8" s="64"/>
      <c r="F8" s="64"/>
      <c r="G8" s="64"/>
      <c r="H8" s="64"/>
      <c r="I8" s="64"/>
      <c r="J8" s="64"/>
      <c r="K8" s="64"/>
    </row>
    <row r="9" spans="1:14" ht="14.25" customHeight="1" x14ac:dyDescent="0.15">
      <c r="A9" s="762" t="s">
        <v>27</v>
      </c>
      <c r="B9" s="777" t="s">
        <v>3</v>
      </c>
      <c r="C9" s="727" t="s">
        <v>126</v>
      </c>
      <c r="D9" s="729" t="s">
        <v>127</v>
      </c>
      <c r="E9" s="731" t="s">
        <v>125</v>
      </c>
      <c r="F9" s="200" t="str">
        <f>"④ (③×"&amp;TEXT(税率登録シート!G17,"#.#0%)")</f>
        <v>④ (③×8.80%)</v>
      </c>
      <c r="G9" s="732" t="s">
        <v>129</v>
      </c>
      <c r="H9" s="734" t="s">
        <v>130</v>
      </c>
      <c r="I9" s="735"/>
      <c r="J9" s="712" t="s">
        <v>128</v>
      </c>
      <c r="K9" s="713"/>
    </row>
    <row r="10" spans="1:14" ht="14.25" customHeight="1" thickBot="1" x14ac:dyDescent="0.2">
      <c r="A10" s="763"/>
      <c r="B10" s="778"/>
      <c r="C10" s="728"/>
      <c r="D10" s="730"/>
      <c r="E10" s="730"/>
      <c r="F10" s="199" t="s">
        <v>114</v>
      </c>
      <c r="G10" s="733"/>
      <c r="H10" s="736"/>
      <c r="I10" s="737"/>
      <c r="J10" s="714"/>
      <c r="K10" s="715"/>
    </row>
    <row r="11" spans="1:14" ht="14.25" customHeight="1" thickTop="1" x14ac:dyDescent="0.2">
      <c r="A11" s="103" t="s">
        <v>5</v>
      </c>
      <c r="B11" s="194" t="str">
        <f>IF(入力試算シート!$F$22="","",入力試算シート!$F$22)</f>
        <v/>
      </c>
      <c r="C11" s="72">
        <f>速算表!F4</f>
        <v>0</v>
      </c>
      <c r="D11" s="73">
        <f>税率登録シート!D28</f>
        <v>430000</v>
      </c>
      <c r="E11" s="73">
        <f>IF($C$11&lt;=税率登録シート!D28,0,$C$11-$D$11)</f>
        <v>0</v>
      </c>
      <c r="F11" s="201">
        <f>$E$11*税率登録シート!G17</f>
        <v>0</v>
      </c>
      <c r="G11" s="202" t="str">
        <f>IF($B11="","",IF($B11&gt;6,(IF($H$5="■",税率登録シート!$G$18*0.3,IF($H$6="■",税率登録シート!$G$18*0.5,IF($H$7="■",税率登録シート!$G$18*0.8,税率登録シート!$G$18)))),(IF($H$5="■",税率登録シート!$G$18*0.3*0.5,IF($H$6="■",税率登録シート!$G$18*0.5*0.5,IF($H$7="■",税率登録シート!$G$18*0.8*0.5,税率登録シート!$G$18*0.5))))))</f>
        <v/>
      </c>
      <c r="H11" s="738" t="str">
        <f>IF(COUNT($B$11:$B$17)=0,"",IF(AND($J$4="■",$H$5="■"),ROUNDDOWN((税率登録シート!G19*0.5)*0.3,0),IF($H$5="■",税率登録シート!G19*0.3,IF(AND($J$4="■",$H$6="■"),ROUNDDOWN((税率登録シート!G19*0.5)*0.5,0),IF($H$6="■",税率登録シート!G19*0.5,IF(AND($J$4="■",$H$7="■"),ROUNDDOWN((税率登録シート!G19*0.5)*0.8,0),IF($H$7="■",税率登録シート!G19*0.8,IF($J$4="■",税率登録シート!G19*0.5,税率登録シート!G19))))))))</f>
        <v/>
      </c>
      <c r="I11" s="739"/>
      <c r="J11" s="740">
        <f>SUM(F11:H11)</f>
        <v>0</v>
      </c>
      <c r="K11" s="741"/>
    </row>
    <row r="12" spans="1:14" ht="14.25" customHeight="1" x14ac:dyDescent="0.2">
      <c r="A12" s="104" t="s">
        <v>6</v>
      </c>
      <c r="B12" s="74" t="str">
        <f>IF(入力試算シート!F23="","",入力試算シート!F23)</f>
        <v/>
      </c>
      <c r="C12" s="75">
        <f>速算表!F30</f>
        <v>0</v>
      </c>
      <c r="D12" s="76">
        <f>税率登録シート!D28</f>
        <v>430000</v>
      </c>
      <c r="E12" s="77">
        <f>IF($C$12&lt;=税率登録シート!D28,0,$C$12-$D$12)</f>
        <v>0</v>
      </c>
      <c r="F12" s="203">
        <f>$E$12*税率登録シート!G17</f>
        <v>0</v>
      </c>
      <c r="G12" s="202" t="str">
        <f>IF($B12="","",IF($B12&gt;6,(IF($H$5="■",税率登録シート!$G$18*0.3,IF($H$6="■",税率登録シート!$G$18*0.5,IF($H$7="■",税率登録シート!$G$18*0.8,税率登録シート!$G$18)))),(IF($H$5="■",税率登録シート!$G$18*0.3*0.5,IF($H$6="■",税率登録シート!$G$18*0.5*0.5,IF($H$7="■",税率登録シート!$G$18*0.8*0.5,税率登録シート!$G$18*0.5))))))</f>
        <v/>
      </c>
      <c r="H12" s="723"/>
      <c r="I12" s="724"/>
      <c r="J12" s="725">
        <f t="shared" ref="J12:J17" si="0">SUM(F12:G12)</f>
        <v>0</v>
      </c>
      <c r="K12" s="726"/>
    </row>
    <row r="13" spans="1:14" ht="14.25" customHeight="1" x14ac:dyDescent="0.2">
      <c r="A13" s="104" t="s">
        <v>7</v>
      </c>
      <c r="B13" s="74" t="str">
        <f>IF(入力試算シート!F24="","",入力試算シート!F24)</f>
        <v/>
      </c>
      <c r="C13" s="75">
        <f>速算表!F56</f>
        <v>0</v>
      </c>
      <c r="D13" s="76">
        <f>税率登録シート!D28</f>
        <v>430000</v>
      </c>
      <c r="E13" s="77">
        <f>IF($C$13&lt;=税率登録シート!D28,0,$C$13-$D$13)</f>
        <v>0</v>
      </c>
      <c r="F13" s="203">
        <f>$E$13*税率登録シート!G17</f>
        <v>0</v>
      </c>
      <c r="G13" s="202" t="str">
        <f>IF($B13="","",IF($B13&gt;6,(IF($H$5="■",税率登録シート!$G$18*0.3,IF($H$6="■",税率登録シート!$G$18*0.5,IF($H$7="■",税率登録シート!$G$18*0.8,税率登録シート!$G$18)))),(IF($H$5="■",税率登録シート!$G$18*0.3*0.5,IF($H$6="■",税率登録シート!$G$18*0.5*0.5,IF($H$7="■",税率登録シート!$G$18*0.8*0.5,税率登録シート!$G$18*0.5))))))</f>
        <v/>
      </c>
      <c r="H13" s="723"/>
      <c r="I13" s="724"/>
      <c r="J13" s="725">
        <f t="shared" si="0"/>
        <v>0</v>
      </c>
      <c r="K13" s="726"/>
      <c r="N13" s="302"/>
    </row>
    <row r="14" spans="1:14" ht="14.25" customHeight="1" x14ac:dyDescent="0.2">
      <c r="A14" s="104" t="s">
        <v>8</v>
      </c>
      <c r="B14" s="74" t="str">
        <f>IF(入力試算シート!F25="","",入力試算シート!F25)</f>
        <v/>
      </c>
      <c r="C14" s="75">
        <f>速算表!F82</f>
        <v>0</v>
      </c>
      <c r="D14" s="76">
        <f>税率登録シート!D28</f>
        <v>430000</v>
      </c>
      <c r="E14" s="77">
        <f>IF($C$14&lt;=税率登録シート!D28,0,$C$14-$D$14)</f>
        <v>0</v>
      </c>
      <c r="F14" s="203">
        <f>$E$14*税率登録シート!G17</f>
        <v>0</v>
      </c>
      <c r="G14" s="202" t="str">
        <f>IF($B14="","",IF($B14&gt;6,(IF($H$5="■",税率登録シート!$G$18*0.3,IF($H$6="■",税率登録シート!$G$18*0.5,IF($H$7="■",税率登録シート!$G$18*0.8,税率登録シート!$G$18)))),(IF($H$5="■",税率登録シート!$G$18*0.3*0.5,IF($H$6="■",税率登録シート!$G$18*0.5*0.5,IF($H$7="■",税率登録シート!$G$18*0.8*0.5,税率登録シート!$G$18*0.5))))))</f>
        <v/>
      </c>
      <c r="H14" s="723"/>
      <c r="I14" s="724"/>
      <c r="J14" s="725">
        <f t="shared" si="0"/>
        <v>0</v>
      </c>
      <c r="K14" s="726"/>
    </row>
    <row r="15" spans="1:14" ht="14.25" customHeight="1" x14ac:dyDescent="0.2">
      <c r="A15" s="104" t="s">
        <v>9</v>
      </c>
      <c r="B15" s="74" t="str">
        <f>IF(入力試算シート!F26="","",入力試算シート!F26)</f>
        <v/>
      </c>
      <c r="C15" s="75">
        <f>速算表!F108</f>
        <v>0</v>
      </c>
      <c r="D15" s="76">
        <f>税率登録シート!D28</f>
        <v>430000</v>
      </c>
      <c r="E15" s="77">
        <f>IF($C$15&lt;=税率登録シート!D28,0,$C$15-$D$15)</f>
        <v>0</v>
      </c>
      <c r="F15" s="203">
        <f>$E$15*税率登録シート!G17</f>
        <v>0</v>
      </c>
      <c r="G15" s="202" t="str">
        <f>IF($B15="","",IF($B15&gt;6,(IF($H$5="■",税率登録シート!$G$18*0.3,IF($H$6="■",税率登録シート!$G$18*0.5,IF($H$7="■",税率登録シート!$G$18*0.8,税率登録シート!$G$18)))),(IF($H$5="■",税率登録シート!$G$18*0.3*0.5,IF($H$6="■",税率登録シート!$G$18*0.5*0.5,IF($H$7="■",税率登録シート!$G$18*0.8*0.5,税率登録シート!$G$18*0.5))))))</f>
        <v/>
      </c>
      <c r="H15" s="723"/>
      <c r="I15" s="724"/>
      <c r="J15" s="725">
        <f t="shared" si="0"/>
        <v>0</v>
      </c>
      <c r="K15" s="726"/>
    </row>
    <row r="16" spans="1:14" ht="14.25" customHeight="1" x14ac:dyDescent="0.2">
      <c r="A16" s="104" t="s">
        <v>10</v>
      </c>
      <c r="B16" s="74" t="str">
        <f>IF(入力試算シート!F27="","",入力試算シート!F27)</f>
        <v/>
      </c>
      <c r="C16" s="75">
        <f>速算表!F134</f>
        <v>0</v>
      </c>
      <c r="D16" s="76">
        <f>税率登録シート!D28</f>
        <v>430000</v>
      </c>
      <c r="E16" s="77">
        <f>IF($C$16&lt;=税率登録シート!D28,0,$C$16-$D$16)</f>
        <v>0</v>
      </c>
      <c r="F16" s="203">
        <f>$E$16*税率登録シート!G17</f>
        <v>0</v>
      </c>
      <c r="G16" s="202" t="str">
        <f>IF($B16="","",IF($B16&gt;6,(IF($H$5="■",税率登録シート!$G$18*0.3,IF($H$6="■",税率登録シート!$G$18*0.5,IF($H$7="■",税率登録シート!$G$18*0.8,税率登録シート!$G$18)))),(IF($H$5="■",税率登録シート!$G$18*0.3*0.5,IF($H$6="■",税率登録シート!$G$18*0.5*0.5,IF($H$7="■",税率登録シート!$G$18*0.8*0.5,税率登録シート!$G$18*0.5))))))</f>
        <v/>
      </c>
      <c r="H16" s="723"/>
      <c r="I16" s="724"/>
      <c r="J16" s="725">
        <f t="shared" si="0"/>
        <v>0</v>
      </c>
      <c r="K16" s="726"/>
    </row>
    <row r="17" spans="1:11" ht="14.25" customHeight="1" thickBot="1" x14ac:dyDescent="0.25">
      <c r="A17" s="105" t="s">
        <v>11</v>
      </c>
      <c r="B17" s="84" t="str">
        <f>IF(入力試算シート!F28="","",入力試算シート!F28)</f>
        <v/>
      </c>
      <c r="C17" s="78">
        <f>速算表!F160</f>
        <v>0</v>
      </c>
      <c r="D17" s="79">
        <f>税率登録シート!D28</f>
        <v>430000</v>
      </c>
      <c r="E17" s="77">
        <f>IF($C$17&lt;=税率登録シート!D28,0,$C$17-$D$17)</f>
        <v>0</v>
      </c>
      <c r="F17" s="204">
        <f>$E$17*税率登録シート!G17</f>
        <v>0</v>
      </c>
      <c r="G17" s="202" t="str">
        <f>IF($B17="","",IF($B17&gt;6,(IF($H$5="■",税率登録シート!$G$18*0.3,IF($H$6="■",税率登録シート!$G$18*0.5,IF($H$7="■",税率登録シート!$G$18*0.8,税率登録シート!$G$18)))),(IF($H$5="■",税率登録シート!$G$18*0.3*0.5,IF($H$6="■",税率登録シート!$G$18*0.5*0.5,IF($H$7="■",税率登録シート!$G$18*0.8*0.5,税率登録シート!$G$18*0.5))))))</f>
        <v/>
      </c>
      <c r="H17" s="721"/>
      <c r="I17" s="722"/>
      <c r="J17" s="719">
        <f t="shared" si="0"/>
        <v>0</v>
      </c>
      <c r="K17" s="720"/>
    </row>
    <row r="18" spans="1:11" ht="14.25" customHeight="1" thickTop="1" thickBot="1" x14ac:dyDescent="0.2">
      <c r="A18" s="775" t="s">
        <v>2</v>
      </c>
      <c r="B18" s="776"/>
      <c r="C18" s="81">
        <f>SUM(C11:C17)</f>
        <v>0</v>
      </c>
      <c r="D18" s="82"/>
      <c r="E18" s="82">
        <f>SUM(E11:E17)</f>
        <v>0</v>
      </c>
      <c r="F18" s="83"/>
      <c r="G18" s="83"/>
      <c r="H18" s="779"/>
      <c r="I18" s="780"/>
      <c r="J18" s="760">
        <f>IF(SUM($J$11:$J$17)&gt;税率登録シート!D6,税率登録シート!D6,ROUNDDOWN($J$11+$J$12+$J$13+$J$14+$J$15+$J$16+$J$17,-2))</f>
        <v>0</v>
      </c>
      <c r="K18" s="761"/>
    </row>
    <row r="19" spans="1:11" ht="14.25" customHeight="1" x14ac:dyDescent="0.15">
      <c r="A19" s="64"/>
      <c r="B19" s="64"/>
      <c r="C19" s="64"/>
      <c r="D19" s="64"/>
      <c r="E19" s="64"/>
      <c r="F19" s="64"/>
      <c r="G19" s="64"/>
      <c r="H19" s="64"/>
      <c r="I19" s="64"/>
      <c r="J19" s="742" t="s">
        <v>22</v>
      </c>
      <c r="K19" s="742"/>
    </row>
    <row r="20" spans="1:11" ht="14.25" customHeight="1" thickBot="1" x14ac:dyDescent="0.2">
      <c r="A20" s="64"/>
      <c r="B20" s="64"/>
      <c r="C20" s="64"/>
      <c r="D20" s="64"/>
      <c r="E20" s="64"/>
      <c r="F20" s="64"/>
      <c r="G20" s="64"/>
      <c r="H20" s="64"/>
      <c r="I20" s="64"/>
      <c r="J20" s="64"/>
      <c r="K20" s="64"/>
    </row>
    <row r="21" spans="1:11" ht="14.25" customHeight="1" thickBot="1" x14ac:dyDescent="0.2">
      <c r="A21" s="768" t="s">
        <v>35</v>
      </c>
      <c r="B21" s="769"/>
      <c r="C21" s="64"/>
      <c r="D21" s="106"/>
      <c r="E21" s="107"/>
      <c r="F21" s="107"/>
      <c r="G21" s="107"/>
      <c r="H21" s="64"/>
      <c r="I21" s="64"/>
      <c r="J21" s="64"/>
      <c r="K21" s="64"/>
    </row>
    <row r="22" spans="1:11" ht="14.25" customHeight="1" thickBot="1" x14ac:dyDescent="0.2">
      <c r="A22" s="770"/>
      <c r="B22" s="771"/>
      <c r="C22" s="64"/>
      <c r="D22" s="66" t="s">
        <v>28</v>
      </c>
      <c r="E22" s="772" t="str">
        <f>"(前年の課税総所得-"&amp;TEXT(税率登録シート!D28,"#,##0円")&amp;")×"&amp;TEXT(税率登録シート!G20,"#.#0%")&amp;""</f>
        <v>(前年の課税総所得-430,000円)×3.10%</v>
      </c>
      <c r="F22" s="773"/>
      <c r="G22" s="774"/>
      <c r="H22" s="64"/>
      <c r="I22" s="69"/>
      <c r="J22" s="64"/>
      <c r="K22" s="64"/>
    </row>
    <row r="23" spans="1:11" ht="14.25" customHeight="1" x14ac:dyDescent="0.15">
      <c r="A23" s="64"/>
      <c r="B23" s="64"/>
      <c r="C23" s="64"/>
      <c r="D23" s="67" t="s">
        <v>0</v>
      </c>
      <c r="E23" s="716" t="str">
        <f>"加入者１人につき"&amp;TEXT(税率登録シート!G21,"#,##0円")</f>
        <v>加入者１人につき9,500円</v>
      </c>
      <c r="F23" s="717"/>
      <c r="G23" s="718"/>
      <c r="H23" s="64"/>
      <c r="I23" s="69"/>
      <c r="J23" s="64"/>
      <c r="K23" s="64"/>
    </row>
    <row r="24" spans="1:11" ht="14.25" customHeight="1" x14ac:dyDescent="0.15">
      <c r="A24" s="64"/>
      <c r="B24" s="64"/>
      <c r="C24" s="64"/>
      <c r="D24" s="67" t="s">
        <v>1</v>
      </c>
      <c r="E24" s="716" t="str">
        <f>"１世帯につき"&amp;TEXT(税率登録シート!G22,"#,##0円")</f>
        <v>１世帯につき10,500円</v>
      </c>
      <c r="F24" s="717"/>
      <c r="G24" s="718"/>
      <c r="H24" s="64"/>
      <c r="I24" s="69"/>
      <c r="J24" s="64"/>
      <c r="K24" s="64"/>
    </row>
    <row r="25" spans="1:11" ht="14.25" customHeight="1" thickBot="1" x14ac:dyDescent="0.2">
      <c r="A25" s="119" t="s">
        <v>68</v>
      </c>
      <c r="B25" s="120">
        <f>COUNT(G29:G35)</f>
        <v>0</v>
      </c>
      <c r="C25" s="120" t="s">
        <v>66</v>
      </c>
      <c r="D25" s="71" t="s">
        <v>31</v>
      </c>
      <c r="E25" s="781">
        <f>税率登録シート!D7</f>
        <v>260000</v>
      </c>
      <c r="F25" s="782"/>
      <c r="G25" s="783"/>
      <c r="H25" s="64"/>
      <c r="I25" s="69"/>
      <c r="J25" s="64"/>
      <c r="K25" s="64"/>
    </row>
    <row r="26" spans="1:11" ht="14.25" customHeight="1" thickBot="1" x14ac:dyDescent="0.2">
      <c r="A26" s="69" t="s">
        <v>182</v>
      </c>
      <c r="B26" s="64">
        <f>COUNTIF(B29:B35,"&lt;=5")</f>
        <v>0</v>
      </c>
      <c r="C26" s="64"/>
      <c r="D26" s="64"/>
      <c r="E26" s="64"/>
      <c r="F26" s="64"/>
      <c r="G26" s="64"/>
      <c r="H26" s="64"/>
      <c r="I26" s="64"/>
      <c r="J26" s="64"/>
      <c r="K26" s="64"/>
    </row>
    <row r="27" spans="1:11" ht="14.25" customHeight="1" x14ac:dyDescent="0.15">
      <c r="A27" s="762" t="s">
        <v>27</v>
      </c>
      <c r="B27" s="764" t="s">
        <v>3</v>
      </c>
      <c r="C27" s="727" t="s">
        <v>126</v>
      </c>
      <c r="D27" s="729" t="s">
        <v>127</v>
      </c>
      <c r="E27" s="731" t="s">
        <v>125</v>
      </c>
      <c r="F27" s="200" t="str">
        <f>"④ (③×"&amp;TEXT(税率登録シート!G20,"#.#0%)")</f>
        <v>④ (③×3.10%)</v>
      </c>
      <c r="G27" s="732" t="s">
        <v>129</v>
      </c>
      <c r="H27" s="734" t="s">
        <v>130</v>
      </c>
      <c r="I27" s="735"/>
      <c r="J27" s="743" t="s">
        <v>40</v>
      </c>
      <c r="K27" s="744"/>
    </row>
    <row r="28" spans="1:11" ht="14.25" customHeight="1" thickBot="1" x14ac:dyDescent="0.2">
      <c r="A28" s="763"/>
      <c r="B28" s="765"/>
      <c r="C28" s="728"/>
      <c r="D28" s="730"/>
      <c r="E28" s="730"/>
      <c r="F28" s="199" t="s">
        <v>114</v>
      </c>
      <c r="G28" s="733"/>
      <c r="H28" s="736"/>
      <c r="I28" s="737"/>
      <c r="J28" s="745"/>
      <c r="K28" s="746"/>
    </row>
    <row r="29" spans="1:11" ht="14.25" customHeight="1" thickTop="1" x14ac:dyDescent="0.2">
      <c r="A29" s="103" t="s">
        <v>5</v>
      </c>
      <c r="B29" s="194" t="str">
        <f>IF(入力試算シート!$F$22="","",入力試算シート!$F$22)</f>
        <v/>
      </c>
      <c r="C29" s="72">
        <f>C11</f>
        <v>0</v>
      </c>
      <c r="D29" s="73">
        <f>税率登録シート!D28</f>
        <v>430000</v>
      </c>
      <c r="E29" s="73">
        <f>IF($C$29&lt;=税率登録シート!D28,0,$C$29-$D$29)</f>
        <v>0</v>
      </c>
      <c r="F29" s="205">
        <f>$E$29*税率登録シート!G20</f>
        <v>0</v>
      </c>
      <c r="G29" s="202" t="str">
        <f>IF($B29="","",IF($B29&gt;6,(IF($H$5="■",税率登録シート!$G$21*0.3,IF($H$6="■",税率登録シート!$G$21*0.5,IF($H$7="■",税率登録シート!$G$21*0.8,税率登録シート!$G$21)))),(IF($H$5="■",税率登録シート!$G$21*0.3*0.5,IF($H$6="■",税率登録シート!$G$21*0.5*0.5,IF($H$7="■",税率登録シート!$G$21*0.8*0.5,税率登録シート!$G$21*0.5))))))</f>
        <v/>
      </c>
      <c r="H29" s="738" t="str">
        <f>IF(COUNT($B$29:$B$35)=0,"",IF(AND($J$4="■",$H$5="■"),ROUNDDOWN((税率登録シート!G22*0.5)*0.3,0),IF($H$5="■",税率登録シート!G22*0.3,IF(AND($J$4="■",$H$6="■"),ROUNDDOWN((税率登録シート!G22*0.5)*0.5,0),IF($H$6="■",税率登録シート!G22*0.5,IF(AND($J$4="■",$H$7="■"),ROUNDDOWN((税率登録シート!G22*0.5)*0.8,0),IF($H$7="■",税率登録シート!G22*0.8,IF($J$4="■",税率登録シート!G22*0.5,税率登録シート!G22))))))))</f>
        <v/>
      </c>
      <c r="I29" s="739"/>
      <c r="J29" s="740">
        <f>SUM(F29:H29)</f>
        <v>0</v>
      </c>
      <c r="K29" s="741"/>
    </row>
    <row r="30" spans="1:11" ht="14.25" customHeight="1" x14ac:dyDescent="0.2">
      <c r="A30" s="104" t="s">
        <v>6</v>
      </c>
      <c r="B30" s="74" t="str">
        <f>IF(入力試算シート!F23="","",入力試算シート!F23)</f>
        <v/>
      </c>
      <c r="C30" s="75">
        <f>C12</f>
        <v>0</v>
      </c>
      <c r="D30" s="76">
        <f>税率登録シート!D28</f>
        <v>430000</v>
      </c>
      <c r="E30" s="77">
        <f>IF($C$30&lt;=税率登録シート!D28,0,$C$30-$D$30)</f>
        <v>0</v>
      </c>
      <c r="F30" s="203">
        <f>$E$30*税率登録シート!G20</f>
        <v>0</v>
      </c>
      <c r="G30" s="202" t="str">
        <f>IF($B30="","",IF($B30&gt;6,(IF($H$5="■",税率登録シート!$G$21*0.3,IF($H$6="■",税率登録シート!$G$21*0.5,IF($H$7="■",税率登録シート!$G$21*0.8,税率登録シート!$G$21)))),(IF($H$5="■",税率登録シート!$G$21*0.3*0.5,IF($H$6="■",税率登録シート!$G$21*0.5*0.5,IF($H$7="■",税率登録シート!$G$21*0.8*0.5,税率登録シート!$G$21*0.5))))))</f>
        <v/>
      </c>
      <c r="H30" s="723"/>
      <c r="I30" s="724"/>
      <c r="J30" s="725">
        <f t="shared" ref="J30:J35" si="1">SUM(F30:G30)</f>
        <v>0</v>
      </c>
      <c r="K30" s="726"/>
    </row>
    <row r="31" spans="1:11" ht="14.25" customHeight="1" x14ac:dyDescent="0.2">
      <c r="A31" s="104" t="s">
        <v>7</v>
      </c>
      <c r="B31" s="74" t="str">
        <f>IF(入力試算シート!F24="","",入力試算シート!F24)</f>
        <v/>
      </c>
      <c r="C31" s="75">
        <f t="shared" ref="C31:C34" si="2">C13</f>
        <v>0</v>
      </c>
      <c r="D31" s="76">
        <f>税率登録シート!D28</f>
        <v>430000</v>
      </c>
      <c r="E31" s="77">
        <f>IF($C$31&lt;=税率登録シート!D28,0,$C$31-$D$31)</f>
        <v>0</v>
      </c>
      <c r="F31" s="203">
        <f>$E$31*税率登録シート!G20</f>
        <v>0</v>
      </c>
      <c r="G31" s="202" t="str">
        <f>IF($B31="","",IF($B31&gt;6,(IF($H$5="■",税率登録シート!$G$21*0.3,IF($H$6="■",税率登録シート!$G$21*0.5,IF($H$7="■",税率登録シート!$G$21*0.8,税率登録シート!$G$21)))),(IF($H$5="■",税率登録シート!$G$21*0.3*0.5,IF($H$6="■",税率登録シート!$G$21*0.5*0.5,IF($H$7="■",税率登録シート!$G$21*0.8*0.5,税率登録シート!$G$21*0.5))))))</f>
        <v/>
      </c>
      <c r="H31" s="723"/>
      <c r="I31" s="724"/>
      <c r="J31" s="725">
        <f t="shared" si="1"/>
        <v>0</v>
      </c>
      <c r="K31" s="726"/>
    </row>
    <row r="32" spans="1:11" ht="14.25" customHeight="1" x14ac:dyDescent="0.2">
      <c r="A32" s="104" t="s">
        <v>8</v>
      </c>
      <c r="B32" s="74" t="str">
        <f>IF(入力試算シート!F25="","",入力試算シート!F25)</f>
        <v/>
      </c>
      <c r="C32" s="75">
        <f t="shared" si="2"/>
        <v>0</v>
      </c>
      <c r="D32" s="76">
        <f>税率登録シート!D28</f>
        <v>430000</v>
      </c>
      <c r="E32" s="77">
        <f>IF($C$32&lt;=税率登録シート!D28,0,$C$32-$D$32)</f>
        <v>0</v>
      </c>
      <c r="F32" s="203">
        <f>$E$32*税率登録シート!G20</f>
        <v>0</v>
      </c>
      <c r="G32" s="202" t="str">
        <f>IF($B32="","",IF($B32&gt;6,(IF($H$5="■",税率登録シート!$G$21*0.3,IF($H$6="■",税率登録シート!$G$21*0.5,IF($H$7="■",税率登録シート!$G$21*0.8,税率登録シート!$G$21)))),(IF($H$5="■",税率登録シート!$G$21*0.3*0.5,IF($H$6="■",税率登録シート!$G$21*0.5*0.5,IF($H$7="■",税率登録シート!$G$21*0.8*0.5,税率登録シート!$G$21*0.5))))))</f>
        <v/>
      </c>
      <c r="H32" s="723"/>
      <c r="I32" s="724"/>
      <c r="J32" s="725">
        <f t="shared" si="1"/>
        <v>0</v>
      </c>
      <c r="K32" s="726"/>
    </row>
    <row r="33" spans="1:11" ht="14.25" customHeight="1" x14ac:dyDescent="0.2">
      <c r="A33" s="104" t="s">
        <v>9</v>
      </c>
      <c r="B33" s="74" t="str">
        <f>IF(入力試算シート!F26="","",入力試算シート!F26)</f>
        <v/>
      </c>
      <c r="C33" s="75">
        <f t="shared" si="2"/>
        <v>0</v>
      </c>
      <c r="D33" s="76">
        <f>税率登録シート!D28</f>
        <v>430000</v>
      </c>
      <c r="E33" s="77">
        <f>IF($C$33&lt;=税率登録シート!D28,0,$C$33-$D$33)</f>
        <v>0</v>
      </c>
      <c r="F33" s="203">
        <f>$E$33*税率登録シート!G20</f>
        <v>0</v>
      </c>
      <c r="G33" s="202" t="str">
        <f>IF($B33="","",IF($B33&gt;6,(IF($H$5="■",税率登録シート!$G$21*0.3,IF($H$6="■",税率登録シート!$G$21*0.5,IF($H$7="■",税率登録シート!$G$21*0.8,税率登録シート!$G$21)))),(IF($H$5="■",税率登録シート!$G$21*0.3*0.5,IF($H$6="■",税率登録シート!$G$21*0.5*0.5,IF($H$7="■",税率登録シート!$G$21*0.8*0.5,税率登録シート!$G$21*0.5))))))</f>
        <v/>
      </c>
      <c r="H33" s="723"/>
      <c r="I33" s="724"/>
      <c r="J33" s="725">
        <f t="shared" si="1"/>
        <v>0</v>
      </c>
      <c r="K33" s="726"/>
    </row>
    <row r="34" spans="1:11" ht="14.25" customHeight="1" x14ac:dyDescent="0.2">
      <c r="A34" s="104" t="s">
        <v>10</v>
      </c>
      <c r="B34" s="74" t="str">
        <f>IF(入力試算シート!F27="","",入力試算シート!F27)</f>
        <v/>
      </c>
      <c r="C34" s="75">
        <f t="shared" si="2"/>
        <v>0</v>
      </c>
      <c r="D34" s="76">
        <f>税率登録シート!D28</f>
        <v>430000</v>
      </c>
      <c r="E34" s="77">
        <f>IF($C$34&lt;=税率登録シート!D28,0,$C$34-$D$34)</f>
        <v>0</v>
      </c>
      <c r="F34" s="203">
        <f>$E$34*税率登録シート!G20</f>
        <v>0</v>
      </c>
      <c r="G34" s="202" t="str">
        <f>IF($B34="","",IF($B34&gt;6,(IF($H$5="■",税率登録シート!$G$21*0.3,IF($H$6="■",税率登録シート!$G$21*0.5,IF($H$7="■",税率登録シート!$G$21*0.8,税率登録シート!$G$21)))),(IF($H$5="■",税率登録シート!$G$21*0.3*0.5,IF($H$6="■",税率登録シート!$G$21*0.5*0.5,IF($H$7="■",税率登録シート!$G$21*0.8*0.5,税率登録シート!$G$21*0.5))))))</f>
        <v/>
      </c>
      <c r="H34" s="723"/>
      <c r="I34" s="724"/>
      <c r="J34" s="725">
        <f t="shared" si="1"/>
        <v>0</v>
      </c>
      <c r="K34" s="726"/>
    </row>
    <row r="35" spans="1:11" ht="14.25" customHeight="1" thickBot="1" x14ac:dyDescent="0.25">
      <c r="A35" s="105" t="s">
        <v>11</v>
      </c>
      <c r="B35" s="74" t="str">
        <f>IF(入力試算シート!F28="","",入力試算シート!F28)</f>
        <v/>
      </c>
      <c r="C35" s="78">
        <f>C17</f>
        <v>0</v>
      </c>
      <c r="D35" s="79">
        <f>税率登録シート!D28</f>
        <v>430000</v>
      </c>
      <c r="E35" s="80">
        <f>IF($C$35&lt;=税率登録シート!D28,0,$C$35-$D$35)</f>
        <v>0</v>
      </c>
      <c r="F35" s="206">
        <f>$E$35*税率登録シート!G20</f>
        <v>0</v>
      </c>
      <c r="G35" s="202" t="str">
        <f>IF($B35="","",IF($B35&gt;6,(IF($H$5="■",税率登録シート!$G$21*0.3,IF($H$6="■",税率登録シート!$G$21*0.5,IF($H$7="■",税率登録シート!$G$21*0.8,税率登録シート!$G$21)))),(IF($H$5="■",税率登録シート!$G$21*0.3*0.5,IF($H$6="■",税率登録シート!$G$21*0.5*0.5,IF($H$7="■",税率登録シート!$G$21*0.8*0.5,税率登録シート!$G$21*0.5))))))</f>
        <v/>
      </c>
      <c r="H35" s="721"/>
      <c r="I35" s="722"/>
      <c r="J35" s="719">
        <f t="shared" si="1"/>
        <v>0</v>
      </c>
      <c r="K35" s="720"/>
    </row>
    <row r="36" spans="1:11" ht="14.25" customHeight="1" thickTop="1" thickBot="1" x14ac:dyDescent="0.2">
      <c r="A36" s="775" t="s">
        <v>2</v>
      </c>
      <c r="B36" s="776"/>
      <c r="C36" s="81"/>
      <c r="D36" s="82"/>
      <c r="E36" s="82">
        <f>SUM(E29:E35)</f>
        <v>0</v>
      </c>
      <c r="F36" s="83"/>
      <c r="G36" s="83"/>
      <c r="H36" s="779"/>
      <c r="I36" s="780"/>
      <c r="J36" s="760">
        <f>IF(SUM($J$29:$J$35)&gt;税率登録シート!D7,税率登録シート!D7,ROUNDDOWN($J$29+$J$30+$J$31+$J$32+$J$33+$J$34+$J$35,-2))</f>
        <v>0</v>
      </c>
      <c r="K36" s="761"/>
    </row>
    <row r="37" spans="1:11" ht="14.25" customHeight="1" x14ac:dyDescent="0.15">
      <c r="A37" s="64"/>
      <c r="B37" s="64"/>
      <c r="C37" s="64"/>
      <c r="D37" s="64"/>
      <c r="E37" s="64"/>
      <c r="F37" s="64"/>
      <c r="G37" s="64"/>
      <c r="H37" s="64"/>
      <c r="I37" s="64"/>
      <c r="J37" s="742" t="s">
        <v>37</v>
      </c>
      <c r="K37" s="742"/>
    </row>
    <row r="38" spans="1:11" ht="14.25" customHeight="1" thickBot="1" x14ac:dyDescent="0.2">
      <c r="A38" s="64"/>
      <c r="B38" s="64"/>
      <c r="C38" s="64"/>
      <c r="D38" s="64"/>
      <c r="E38" s="64"/>
      <c r="F38" s="64"/>
      <c r="G38" s="64"/>
      <c r="H38" s="64"/>
      <c r="I38" s="64"/>
      <c r="J38" s="64"/>
      <c r="K38" s="64"/>
    </row>
    <row r="39" spans="1:11" ht="14.25" customHeight="1" thickBot="1" x14ac:dyDescent="0.2">
      <c r="A39" s="768" t="s">
        <v>24</v>
      </c>
      <c r="B39" s="769"/>
      <c r="C39" s="64"/>
      <c r="D39" s="106"/>
      <c r="E39" s="107"/>
      <c r="F39" s="107"/>
      <c r="G39" s="107"/>
      <c r="H39" s="64"/>
      <c r="I39" s="64"/>
      <c r="J39" s="64"/>
      <c r="K39" s="64"/>
    </row>
    <row r="40" spans="1:11" ht="14.25" customHeight="1" thickBot="1" x14ac:dyDescent="0.2">
      <c r="A40" s="770"/>
      <c r="B40" s="771"/>
      <c r="C40" s="64"/>
      <c r="D40" s="66" t="s">
        <v>28</v>
      </c>
      <c r="E40" s="772" t="str">
        <f>"(前年の課税総所得-"&amp;TEXT(税率登録シート!D28,"#,##0円")&amp;")×"&amp;TEXT(税率登録シート!G23,"#.#0%")&amp;""</f>
        <v>(前年の課税総所得-430,000円)×2.60%</v>
      </c>
      <c r="F40" s="773"/>
      <c r="G40" s="774"/>
      <c r="H40" s="64"/>
      <c r="I40" s="69"/>
      <c r="J40" s="64"/>
      <c r="K40" s="64"/>
    </row>
    <row r="41" spans="1:11" ht="14.25" customHeight="1" x14ac:dyDescent="0.2">
      <c r="A41" s="64"/>
      <c r="B41" s="64"/>
      <c r="C41" s="64"/>
      <c r="D41" s="67" t="s">
        <v>0</v>
      </c>
      <c r="E41" s="716" t="str">
        <f>"加入者１人につき"&amp;TEXT(税率登録シート!G24,"#,##0円")</f>
        <v>加入者１人につき9,800円</v>
      </c>
      <c r="F41" s="717"/>
      <c r="G41" s="718"/>
      <c r="H41" s="64"/>
      <c r="I41" s="85"/>
      <c r="J41" s="64"/>
      <c r="K41" s="64"/>
    </row>
    <row r="42" spans="1:11" ht="14.25" customHeight="1" x14ac:dyDescent="0.15">
      <c r="A42" s="766" t="s">
        <v>36</v>
      </c>
      <c r="B42" s="766"/>
      <c r="C42" s="767"/>
      <c r="D42" s="67" t="s">
        <v>1</v>
      </c>
      <c r="E42" s="716" t="str">
        <f>"１世帯につき"&amp;TEXT(税率登録シート!G25,"#,##0円")</f>
        <v>１世帯につき7,400円</v>
      </c>
      <c r="F42" s="717"/>
      <c r="G42" s="718"/>
      <c r="H42" s="64"/>
      <c r="I42" s="69"/>
      <c r="J42" s="64"/>
      <c r="K42" s="64"/>
    </row>
    <row r="43" spans="1:11" ht="14.25" customHeight="1" thickBot="1" x14ac:dyDescent="0.2">
      <c r="A43" s="119" t="s">
        <v>68</v>
      </c>
      <c r="B43" s="120">
        <f>COUNT(G47:G53)</f>
        <v>0</v>
      </c>
      <c r="C43" s="120" t="s">
        <v>66</v>
      </c>
      <c r="D43" s="71" t="s">
        <v>31</v>
      </c>
      <c r="E43" s="781">
        <f>税率登録シート!D8</f>
        <v>170000</v>
      </c>
      <c r="F43" s="782"/>
      <c r="G43" s="783"/>
      <c r="H43" s="64"/>
      <c r="I43" s="69"/>
      <c r="J43" s="64"/>
      <c r="K43" s="64"/>
    </row>
    <row r="44" spans="1:11" ht="14.25" customHeight="1" thickBot="1" x14ac:dyDescent="0.2">
      <c r="A44" s="64"/>
      <c r="B44" s="64"/>
      <c r="C44" s="64"/>
      <c r="D44" s="64"/>
      <c r="E44" s="64"/>
      <c r="F44" s="64"/>
      <c r="G44" s="64"/>
      <c r="H44" s="64"/>
      <c r="I44" s="64"/>
      <c r="J44" s="64"/>
      <c r="K44" s="64"/>
    </row>
    <row r="45" spans="1:11" ht="14.25" customHeight="1" x14ac:dyDescent="0.15">
      <c r="A45" s="762" t="s">
        <v>27</v>
      </c>
      <c r="B45" s="764" t="s">
        <v>3</v>
      </c>
      <c r="C45" s="727" t="s">
        <v>126</v>
      </c>
      <c r="D45" s="729" t="s">
        <v>127</v>
      </c>
      <c r="E45" s="731" t="s">
        <v>125</v>
      </c>
      <c r="F45" s="200" t="str">
        <f>"④ (③×"&amp;TEXT(税率登録シート!G23,"#.#0%)")</f>
        <v>④ (③×2.60%)</v>
      </c>
      <c r="G45" s="732" t="s">
        <v>129</v>
      </c>
      <c r="H45" s="734" t="s">
        <v>130</v>
      </c>
      <c r="I45" s="735"/>
      <c r="J45" s="743" t="s">
        <v>40</v>
      </c>
      <c r="K45" s="744"/>
    </row>
    <row r="46" spans="1:11" ht="14.25" customHeight="1" thickBot="1" x14ac:dyDescent="0.2">
      <c r="A46" s="763"/>
      <c r="B46" s="765"/>
      <c r="C46" s="728"/>
      <c r="D46" s="730"/>
      <c r="E46" s="730"/>
      <c r="F46" s="199" t="s">
        <v>114</v>
      </c>
      <c r="G46" s="733"/>
      <c r="H46" s="736"/>
      <c r="I46" s="737"/>
      <c r="J46" s="745"/>
      <c r="K46" s="746"/>
    </row>
    <row r="47" spans="1:11" ht="14.25" customHeight="1" thickTop="1" x14ac:dyDescent="0.2">
      <c r="A47" s="103" t="s">
        <v>5</v>
      </c>
      <c r="B47" s="84" t="str">
        <f>IF(入力試算シート!$F$22="","",IF(AND(40&lt;=入力試算シート!$F$22,入力試算シート!$F$22&lt;=64),入力試算シート!$F$22,""))</f>
        <v/>
      </c>
      <c r="C47" s="256" t="str">
        <f>IF(B47="","",C11)</f>
        <v/>
      </c>
      <c r="D47" s="73">
        <f>税率登録シート!D28</f>
        <v>430000</v>
      </c>
      <c r="E47" s="86" t="str">
        <f>IF($C$47="","0",IF($C$47&lt;=税率登録シート!D28,0,$C$47-$D$47))</f>
        <v>0</v>
      </c>
      <c r="F47" s="205">
        <f>$E$47*税率登録シート!G23</f>
        <v>0</v>
      </c>
      <c r="G47" s="203" t="str">
        <f>IF($B47="","",IF($H$5="■",税率登録シート!$G$24*0.3,IF($H$6="■",税率登録シート!$G$24*0.5,IF($H$7="■",税率登録シート!$G$24*0.8,税率登録シート!$G$24))))</f>
        <v/>
      </c>
      <c r="H47" s="738" t="str">
        <f>IF(COUNT($B$47:$B$53)=0,"",IF($H$5="■",税率登録シート!G25*0.3,IF($H$6="■",税率登録シート!G25*0.5,IF($H$7="■",税率登録シート!G25*0.8,税率登録シート!G25))))</f>
        <v/>
      </c>
      <c r="I47" s="739"/>
      <c r="J47" s="740">
        <f>SUM(F47:H47)</f>
        <v>0</v>
      </c>
      <c r="K47" s="741"/>
    </row>
    <row r="48" spans="1:11" ht="14.25" customHeight="1" x14ac:dyDescent="0.2">
      <c r="A48" s="104" t="s">
        <v>6</v>
      </c>
      <c r="B48" s="84" t="str">
        <f>IF(入力試算シート!F23="","",IF(AND(40&lt;=入力試算シート!F23,入力試算シート!F23&lt;=64),入力試算シート!F23,""))</f>
        <v/>
      </c>
      <c r="C48" s="75" t="str">
        <f t="shared" ref="C48:C53" si="3">IF(B48="","",C12)</f>
        <v/>
      </c>
      <c r="D48" s="76">
        <f>税率登録シート!D28</f>
        <v>430000</v>
      </c>
      <c r="E48" s="87" t="str">
        <f>IF($C$48="","0",IF($C$48&lt;=税率登録シート!D28,0,$C$48-$D$48))</f>
        <v>0</v>
      </c>
      <c r="F48" s="203">
        <f>$E$48*税率登録シート!G23</f>
        <v>0</v>
      </c>
      <c r="G48" s="203" t="str">
        <f>IF($B48="","",IF($H$5="■",税率登録シート!$G$24*0.3,IF($H$6="■",税率登録シート!$G$24*0.5,IF($H$7="■",税率登録シート!$G$24*0.8,税率登録シート!$G$24))))</f>
        <v/>
      </c>
      <c r="H48" s="723"/>
      <c r="I48" s="724"/>
      <c r="J48" s="725">
        <f t="shared" ref="J48:J53" si="4">SUM(F48:G48)</f>
        <v>0</v>
      </c>
      <c r="K48" s="726"/>
    </row>
    <row r="49" spans="1:11" ht="14.25" customHeight="1" x14ac:dyDescent="0.2">
      <c r="A49" s="104" t="s">
        <v>7</v>
      </c>
      <c r="B49" s="84" t="str">
        <f>IF(入力試算シート!F24="","",IF(AND(40&lt;=入力試算シート!F24,入力試算シート!F24&lt;=64),入力試算シート!F24,""))</f>
        <v/>
      </c>
      <c r="C49" s="75" t="str">
        <f t="shared" si="3"/>
        <v/>
      </c>
      <c r="D49" s="76">
        <f>税率登録シート!D28</f>
        <v>430000</v>
      </c>
      <c r="E49" s="87" t="str">
        <f>IF($C$49="","0",IF($C$49&lt;=税率登録シート!D28,0,$C$49-$D$49))</f>
        <v>0</v>
      </c>
      <c r="F49" s="203">
        <f>$E$49*税率登録シート!G23</f>
        <v>0</v>
      </c>
      <c r="G49" s="203" t="str">
        <f>IF($B49="","",IF($H$5="■",税率登録シート!$G$24*0.3,IF($H$6="■",税率登録シート!$G$24*0.5,IF($H$7="■",税率登録シート!$G$24*0.8,税率登録シート!$G$24))))</f>
        <v/>
      </c>
      <c r="H49" s="723"/>
      <c r="I49" s="724"/>
      <c r="J49" s="725">
        <f t="shared" si="4"/>
        <v>0</v>
      </c>
      <c r="K49" s="726"/>
    </row>
    <row r="50" spans="1:11" ht="14.25" customHeight="1" x14ac:dyDescent="0.2">
      <c r="A50" s="104" t="s">
        <v>8</v>
      </c>
      <c r="B50" s="84" t="str">
        <f>IF(入力試算シート!F25="","",IF(AND(40&lt;=入力試算シート!F25,入力試算シート!F25&lt;=64),入力試算シート!F25,""))</f>
        <v/>
      </c>
      <c r="C50" s="75" t="str">
        <f t="shared" si="3"/>
        <v/>
      </c>
      <c r="D50" s="76">
        <f>税率登録シート!D28</f>
        <v>430000</v>
      </c>
      <c r="E50" s="87" t="str">
        <f>IF($C$50="","0",IF($C$50&lt;=税率登録シート!D28,0,$C$50-$D$50))</f>
        <v>0</v>
      </c>
      <c r="F50" s="203">
        <f>$E$50*税率登録シート!G23</f>
        <v>0</v>
      </c>
      <c r="G50" s="203" t="str">
        <f>IF($B50="","",IF($H$5="■",税率登録シート!$G$24*0.3,IF($H$6="■",税率登録シート!$G$24*0.5,IF($H$7="■",税率登録シート!$G$24*0.8,税率登録シート!$G$24))))</f>
        <v/>
      </c>
      <c r="H50" s="723"/>
      <c r="I50" s="724"/>
      <c r="J50" s="725">
        <f t="shared" si="4"/>
        <v>0</v>
      </c>
      <c r="K50" s="726"/>
    </row>
    <row r="51" spans="1:11" ht="14.25" customHeight="1" x14ac:dyDescent="0.2">
      <c r="A51" s="104" t="s">
        <v>9</v>
      </c>
      <c r="B51" s="84" t="str">
        <f>IF(入力試算シート!F26="","",IF(AND(40&lt;=入力試算シート!F26,入力試算シート!F26&lt;=64),入力試算シート!F26,""))</f>
        <v/>
      </c>
      <c r="C51" s="75" t="str">
        <f t="shared" si="3"/>
        <v/>
      </c>
      <c r="D51" s="76">
        <f>税率登録シート!D28</f>
        <v>430000</v>
      </c>
      <c r="E51" s="87" t="str">
        <f>IF($C$51="","0",IF($C$51&lt;=税率登録シート!D28,0,$C$51-$D$51))</f>
        <v>0</v>
      </c>
      <c r="F51" s="203">
        <f>$E$51*税率登録シート!G23</f>
        <v>0</v>
      </c>
      <c r="G51" s="203" t="str">
        <f>IF($B51="","",IF($H$5="■",税率登録シート!$G$24*0.3,IF($H$6="■",税率登録シート!$G$24*0.5,IF($H$7="■",税率登録シート!$G$24*0.8,税率登録シート!$G$24))))</f>
        <v/>
      </c>
      <c r="H51" s="723"/>
      <c r="I51" s="724"/>
      <c r="J51" s="725">
        <f t="shared" si="4"/>
        <v>0</v>
      </c>
      <c r="K51" s="726"/>
    </row>
    <row r="52" spans="1:11" ht="14.25" customHeight="1" x14ac:dyDescent="0.2">
      <c r="A52" s="104" t="s">
        <v>10</v>
      </c>
      <c r="B52" s="84" t="str">
        <f>IF(入力試算シート!F27="","",IF(AND(40&lt;=入力試算シート!F27,入力試算シート!F27&lt;=64),入力試算シート!F27,""))</f>
        <v/>
      </c>
      <c r="C52" s="75" t="str">
        <f t="shared" si="3"/>
        <v/>
      </c>
      <c r="D52" s="76">
        <f>税率登録シート!D28</f>
        <v>430000</v>
      </c>
      <c r="E52" s="87" t="str">
        <f>IF($C$52="","0",IF($C$52&lt;=税率登録シート!D28,0,$C$52-$D$52))</f>
        <v>0</v>
      </c>
      <c r="F52" s="203">
        <f>$E$52*税率登録シート!G23</f>
        <v>0</v>
      </c>
      <c r="G52" s="203" t="str">
        <f>IF($B52="","",IF($H$5="■",税率登録シート!$G$24*0.3,IF($H$6="■",税率登録シート!$G$24*0.5,IF($H$7="■",税率登録シート!$G$24*0.8,税率登録シート!$G$24))))</f>
        <v/>
      </c>
      <c r="H52" s="723"/>
      <c r="I52" s="724"/>
      <c r="J52" s="725">
        <f t="shared" si="4"/>
        <v>0</v>
      </c>
      <c r="K52" s="726"/>
    </row>
    <row r="53" spans="1:11" ht="14.25" customHeight="1" thickBot="1" x14ac:dyDescent="0.25">
      <c r="A53" s="105" t="s">
        <v>11</v>
      </c>
      <c r="B53" s="84" t="str">
        <f>IF(入力試算シート!F28="","",IF(AND(40&lt;=入力試算シート!F28,入力試算シート!F28&lt;=64),入力試算シート!F28,""))</f>
        <v/>
      </c>
      <c r="C53" s="257" t="str">
        <f t="shared" si="3"/>
        <v/>
      </c>
      <c r="D53" s="79">
        <f>税率登録シート!D28</f>
        <v>430000</v>
      </c>
      <c r="E53" s="88" t="str">
        <f>IF($C$53="","0",IF($C$53&lt;=税率登録シート!D28,0,$C$53-$D$53))</f>
        <v>0</v>
      </c>
      <c r="F53" s="206">
        <f>$E$53*税率登録シート!G23</f>
        <v>0</v>
      </c>
      <c r="G53" s="203" t="str">
        <f>IF($B53="","",IF($H$5="■",税率登録シート!$G$24*0.3,IF($H$6="■",税率登録シート!$G$24*0.5,IF($H$7="■",税率登録シート!$G$24*0.8,税率登録シート!$G$24))))</f>
        <v/>
      </c>
      <c r="H53" s="721"/>
      <c r="I53" s="722"/>
      <c r="J53" s="719">
        <f t="shared" si="4"/>
        <v>0</v>
      </c>
      <c r="K53" s="720"/>
    </row>
    <row r="54" spans="1:11" ht="14.25" customHeight="1" thickTop="1" thickBot="1" x14ac:dyDescent="0.2">
      <c r="A54" s="756" t="s">
        <v>2</v>
      </c>
      <c r="B54" s="757"/>
      <c r="C54" s="89"/>
      <c r="D54" s="90"/>
      <c r="E54" s="82">
        <f>SUM(E47:E53)</f>
        <v>0</v>
      </c>
      <c r="F54" s="91"/>
      <c r="G54" s="91"/>
      <c r="H54" s="758"/>
      <c r="I54" s="759"/>
      <c r="J54" s="760">
        <f>IF(SUM($J$47:$J$53)&gt;税率登録シート!D8,税率登録シート!D8,ROUNDDOWN($J$47+$J$48+$J$49+$J$50+$J$51+$J$52+$J$53,-2))</f>
        <v>0</v>
      </c>
      <c r="K54" s="761"/>
    </row>
    <row r="55" spans="1:11" ht="14.25" customHeight="1" thickBot="1" x14ac:dyDescent="0.2">
      <c r="A55" s="64"/>
      <c r="B55" s="64"/>
      <c r="C55" s="64"/>
      <c r="D55" s="64"/>
      <c r="E55" s="64"/>
      <c r="F55" s="64"/>
      <c r="G55" s="64"/>
      <c r="H55" s="64"/>
      <c r="I55" s="64"/>
      <c r="J55" s="742" t="s">
        <v>41</v>
      </c>
      <c r="K55" s="742"/>
    </row>
    <row r="56" spans="1:11" ht="14.25" customHeight="1" thickBot="1" x14ac:dyDescent="0.2">
      <c r="A56" s="64" t="s">
        <v>206</v>
      </c>
      <c r="B56" s="64"/>
      <c r="C56" s="64"/>
      <c r="D56" s="64"/>
      <c r="E56" s="64"/>
      <c r="F56" s="92"/>
      <c r="G56" s="93" t="s">
        <v>38</v>
      </c>
      <c r="H56" s="64"/>
      <c r="I56" s="64"/>
      <c r="J56" s="64"/>
      <c r="K56" s="64"/>
    </row>
    <row r="57" spans="1:11" ht="14.25" customHeight="1" thickTop="1" thickBot="1" x14ac:dyDescent="0.2">
      <c r="A57" s="64" t="s">
        <v>207</v>
      </c>
      <c r="B57" s="64"/>
      <c r="C57" s="64"/>
      <c r="D57" s="64"/>
      <c r="E57" s="64"/>
      <c r="F57" s="94" t="s">
        <v>23</v>
      </c>
      <c r="G57" s="95">
        <f>ROUNDUP($J$18/12,0)</f>
        <v>0</v>
      </c>
      <c r="H57" s="64"/>
      <c r="I57" s="747" t="s">
        <v>39</v>
      </c>
      <c r="J57" s="748"/>
      <c r="K57" s="749"/>
    </row>
    <row r="58" spans="1:11" ht="14.25" customHeight="1" thickTop="1" x14ac:dyDescent="0.15">
      <c r="A58" s="64"/>
      <c r="B58" s="64"/>
      <c r="C58" s="64"/>
      <c r="D58" s="64"/>
      <c r="E58" s="64"/>
      <c r="F58" s="96" t="s">
        <v>35</v>
      </c>
      <c r="G58" s="97">
        <f>J36/12</f>
        <v>0</v>
      </c>
      <c r="H58" s="64"/>
      <c r="I58" s="750">
        <f>$J$18+$J$36+$J$54</f>
        <v>0</v>
      </c>
      <c r="J58" s="751"/>
      <c r="K58" s="752"/>
    </row>
    <row r="59" spans="1:11" ht="14.25" customHeight="1" thickBot="1" x14ac:dyDescent="0.2">
      <c r="A59" s="64"/>
      <c r="B59" s="64"/>
      <c r="C59" s="64"/>
      <c r="D59" s="64"/>
      <c r="E59" s="64"/>
      <c r="F59" s="98" t="s">
        <v>24</v>
      </c>
      <c r="G59" s="99">
        <f>J54/12</f>
        <v>0</v>
      </c>
      <c r="H59" s="64"/>
      <c r="I59" s="753"/>
      <c r="J59" s="754"/>
      <c r="K59" s="755"/>
    </row>
    <row r="60" spans="1:11" ht="14.25" customHeight="1" thickTop="1" thickBot="1" x14ac:dyDescent="0.2">
      <c r="A60" s="64"/>
      <c r="B60" s="64"/>
      <c r="C60" s="64"/>
      <c r="D60" s="64"/>
      <c r="E60" s="64"/>
      <c r="F60" s="100" t="s">
        <v>2</v>
      </c>
      <c r="G60" s="101">
        <f>SUM(G57:G59)</f>
        <v>0</v>
      </c>
      <c r="H60" s="64"/>
      <c r="I60" s="64"/>
      <c r="J60" s="64"/>
      <c r="K60" s="64"/>
    </row>
  </sheetData>
  <sheetProtection selectLockedCells="1" selectUnlockedCells="1"/>
  <mergeCells count="100">
    <mergeCell ref="H36:I36"/>
    <mergeCell ref="J36:K36"/>
    <mergeCell ref="E43:G43"/>
    <mergeCell ref="E45:E46"/>
    <mergeCell ref="G45:G46"/>
    <mergeCell ref="E6:G6"/>
    <mergeCell ref="E7:G7"/>
    <mergeCell ref="G27:G28"/>
    <mergeCell ref="H35:I35"/>
    <mergeCell ref="J35:K35"/>
    <mergeCell ref="J13:K13"/>
    <mergeCell ref="J14:K14"/>
    <mergeCell ref="J19:K19"/>
    <mergeCell ref="J11:K11"/>
    <mergeCell ref="J12:K12"/>
    <mergeCell ref="H34:I34"/>
    <mergeCell ref="J34:K34"/>
    <mergeCell ref="H33:I33"/>
    <mergeCell ref="J33:K33"/>
    <mergeCell ref="H30:I30"/>
    <mergeCell ref="J30:K30"/>
    <mergeCell ref="H31:I31"/>
    <mergeCell ref="J31:K31"/>
    <mergeCell ref="H32:I32"/>
    <mergeCell ref="H11:I11"/>
    <mergeCell ref="H12:I12"/>
    <mergeCell ref="H13:I13"/>
    <mergeCell ref="H27:I28"/>
    <mergeCell ref="J32:K32"/>
    <mergeCell ref="J27:K28"/>
    <mergeCell ref="H2:I2"/>
    <mergeCell ref="J2:K2"/>
    <mergeCell ref="A3:B4"/>
    <mergeCell ref="H3:I3"/>
    <mergeCell ref="E4:G4"/>
    <mergeCell ref="J3:K3"/>
    <mergeCell ref="E5:G5"/>
    <mergeCell ref="A9:A10"/>
    <mergeCell ref="B9:B10"/>
    <mergeCell ref="J29:K29"/>
    <mergeCell ref="J18:K18"/>
    <mergeCell ref="H18:I18"/>
    <mergeCell ref="A27:A28"/>
    <mergeCell ref="B27:B28"/>
    <mergeCell ref="C27:C28"/>
    <mergeCell ref="D27:D28"/>
    <mergeCell ref="A21:B22"/>
    <mergeCell ref="E22:G22"/>
    <mergeCell ref="A18:B18"/>
    <mergeCell ref="E25:G25"/>
    <mergeCell ref="H29:I29"/>
    <mergeCell ref="E27:E28"/>
    <mergeCell ref="A39:B40"/>
    <mergeCell ref="E40:G40"/>
    <mergeCell ref="A36:B36"/>
    <mergeCell ref="E41:G41"/>
    <mergeCell ref="E42:G42"/>
    <mergeCell ref="A45:A46"/>
    <mergeCell ref="B45:B46"/>
    <mergeCell ref="A42:C42"/>
    <mergeCell ref="C45:C46"/>
    <mergeCell ref="D45:D46"/>
    <mergeCell ref="A54:B54"/>
    <mergeCell ref="H54:I54"/>
    <mergeCell ref="J54:K54"/>
    <mergeCell ref="J55:K55"/>
    <mergeCell ref="H51:I51"/>
    <mergeCell ref="J51:K51"/>
    <mergeCell ref="H52:I52"/>
    <mergeCell ref="J52:K52"/>
    <mergeCell ref="I57:K57"/>
    <mergeCell ref="I58:K59"/>
    <mergeCell ref="H53:I53"/>
    <mergeCell ref="J53:K53"/>
    <mergeCell ref="H49:I49"/>
    <mergeCell ref="J49:K49"/>
    <mergeCell ref="H50:I50"/>
    <mergeCell ref="J50:K50"/>
    <mergeCell ref="H47:I47"/>
    <mergeCell ref="J47:K47"/>
    <mergeCell ref="H48:I48"/>
    <mergeCell ref="J48:K48"/>
    <mergeCell ref="J37:K37"/>
    <mergeCell ref="H45:I46"/>
    <mergeCell ref="J45:K46"/>
    <mergeCell ref="C9:C10"/>
    <mergeCell ref="D9:D10"/>
    <mergeCell ref="E9:E10"/>
    <mergeCell ref="G9:G10"/>
    <mergeCell ref="H9:I10"/>
    <mergeCell ref="J9:K10"/>
    <mergeCell ref="E23:G23"/>
    <mergeCell ref="E24:G24"/>
    <mergeCell ref="J17:K17"/>
    <mergeCell ref="H17:I17"/>
    <mergeCell ref="H15:I15"/>
    <mergeCell ref="H16:I16"/>
    <mergeCell ref="J15:K15"/>
    <mergeCell ref="J16:K16"/>
    <mergeCell ref="H14:I14"/>
  </mergeCells>
  <phoneticPr fontId="2"/>
  <pageMargins left="0.78740157480314965"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87"/>
  <sheetViews>
    <sheetView zoomScale="68" zoomScaleNormal="68" workbookViewId="0"/>
  </sheetViews>
  <sheetFormatPr defaultRowHeight="13.5" x14ac:dyDescent="0.15"/>
  <cols>
    <col min="1" max="8" width="13.75" customWidth="1"/>
    <col min="9" max="9" width="3.75" customWidth="1"/>
    <col min="10" max="10" width="13.75" customWidth="1"/>
    <col min="11" max="11" width="14.875" customWidth="1"/>
    <col min="12" max="12" width="3.625" customWidth="1"/>
    <col min="13" max="14" width="14.875" customWidth="1"/>
    <col min="15" max="15" width="3.625" customWidth="1"/>
    <col min="16" max="16" width="13.75" customWidth="1"/>
    <col min="17" max="17" width="14.875" customWidth="1"/>
    <col min="18" max="18" width="3.625" customWidth="1"/>
    <col min="19" max="19" width="10.625" customWidth="1"/>
    <col min="20" max="20" width="12.625" customWidth="1"/>
    <col min="21" max="21" width="10.625" customWidth="1"/>
    <col min="22" max="22" width="12.75" customWidth="1"/>
  </cols>
  <sheetData>
    <row r="1" spans="1:18" ht="24.75" customHeight="1" x14ac:dyDescent="0.15"/>
    <row r="2" spans="1:18" ht="18.75" customHeight="1" thickBot="1" x14ac:dyDescent="0.25">
      <c r="A2" s="59" t="s">
        <v>5</v>
      </c>
      <c r="B2" s="1"/>
      <c r="M2" s="786" t="str">
        <f>TEXT(税率登録シート!K3,"ggge")&amp;"年１月１日 以前"</f>
        <v>昭和35年１月１日 以前</v>
      </c>
      <c r="N2" s="786"/>
      <c r="P2" s="786" t="str">
        <f>TEXT(税率登録シート!K3,"ggge")&amp;"年１月２日 以降"</f>
        <v>昭和35年１月２日 以降</v>
      </c>
      <c r="Q2" s="786"/>
    </row>
    <row r="3" spans="1:18" ht="18.75" customHeight="1" thickBot="1" x14ac:dyDescent="0.2">
      <c r="A3" s="11" t="s">
        <v>12</v>
      </c>
      <c r="B3" s="11" t="s">
        <v>4</v>
      </c>
      <c r="C3" s="23" t="s">
        <v>13</v>
      </c>
      <c r="D3" s="24" t="s">
        <v>14</v>
      </c>
      <c r="E3" s="25" t="s">
        <v>29</v>
      </c>
      <c r="F3" s="27" t="s">
        <v>2</v>
      </c>
      <c r="G3" s="121"/>
      <c r="H3" s="121"/>
      <c r="I3" s="2"/>
      <c r="J3" s="3" t="s">
        <v>12</v>
      </c>
      <c r="K3" s="4" t="s">
        <v>13</v>
      </c>
      <c r="M3" s="3" t="s">
        <v>4</v>
      </c>
      <c r="N3" s="4" t="s">
        <v>14</v>
      </c>
      <c r="P3" s="3" t="s">
        <v>4</v>
      </c>
      <c r="Q3" s="4" t="s">
        <v>14</v>
      </c>
    </row>
    <row r="4" spans="1:18" ht="18.75" customHeight="1" thickTop="1" thickBot="1" x14ac:dyDescent="0.25">
      <c r="A4" s="5">
        <f>入力試算シート!I22</f>
        <v>0</v>
      </c>
      <c r="B4" s="5">
        <f>入力試算シート!N22</f>
        <v>0</v>
      </c>
      <c r="C4" s="21">
        <f>IF(入力試算シート!AO22="無し",IF(VLOOKUP($A4,$J4:$K26,2,TRUE)-IF($D4&gt;=100000,100000,$D4)&lt;0,0,VLOOKUP($A4,$J4:$K26,2,TRUE)-IF($D4&gt;=100000,100000,$D4)),速算表!K24-IF($A4&lt;10000000,ROUNDUP(($A4-8500000)*0.1,0),150000)-IF($D4&gt;=100000,100000,$D4))</f>
        <v>0</v>
      </c>
      <c r="D4" s="22">
        <f>IF(入力試算シート!S22="以前",VLOOKUP($B$4,M4:N14,2,TRUE),VLOOKUP($B$4,$P$4:$Q$14,2,TRUE))</f>
        <v>0</v>
      </c>
      <c r="E4" s="26">
        <f>入力試算シート!U22</f>
        <v>0</v>
      </c>
      <c r="F4" s="42">
        <f>IF(SUM($C$4:$E$4)&lt;=0,0,SUM($C$4:$E$4))</f>
        <v>0</v>
      </c>
      <c r="G4" s="122"/>
      <c r="H4" s="122"/>
      <c r="I4" s="5"/>
      <c r="J4" s="6">
        <v>0</v>
      </c>
      <c r="K4" s="7">
        <v>0</v>
      </c>
      <c r="L4" s="8"/>
      <c r="M4" s="9">
        <v>0</v>
      </c>
      <c r="N4" s="10">
        <v>0</v>
      </c>
      <c r="O4" s="8"/>
      <c r="P4" s="9">
        <v>0</v>
      </c>
      <c r="Q4" s="10">
        <v>0</v>
      </c>
      <c r="R4" s="8"/>
    </row>
    <row r="5" spans="1:18" ht="18.75" customHeight="1" thickBot="1" x14ac:dyDescent="0.25">
      <c r="A5" s="5"/>
      <c r="B5" s="5" t="s">
        <v>205</v>
      </c>
      <c r="C5" s="320">
        <f>IF(入力試算シート!AO22="無し",IF(VLOOKUP($A4,$J4:$K26,2,TRUE)-IF($D5&gt;=100000,100000,$D5)&lt;0,0,VLOOKUP($A4,$J4:$K26,2,TRUE)-IF($D5&gt;=100000,100000,$D5)),速算表!K24-IF($A4&lt;10000000,ROUNDUP(($A4-8500000)*0.1,0),150000)-IF($D5&gt;=100000,100000,$D5))</f>
        <v>0</v>
      </c>
      <c r="D5" s="321">
        <f>IF($D4=0,0,IF(AND(入力試算シート!S22="以前",$B4&lt;=1250000),$B4-1100000-$N$6,IF(入力試算シート!S22="以降",$D4,$D4-150000)))</f>
        <v>0</v>
      </c>
      <c r="E5" s="322">
        <f>$E4</f>
        <v>0</v>
      </c>
      <c r="F5" s="323">
        <f>IF(SUM($C5:$E5)&lt;=0,0,SUM($C5:$E5))</f>
        <v>0</v>
      </c>
      <c r="G5" s="12"/>
      <c r="H5" s="12"/>
      <c r="I5" s="12"/>
      <c r="J5" s="13">
        <v>550999</v>
      </c>
      <c r="K5" s="14">
        <v>0</v>
      </c>
      <c r="L5" s="8"/>
      <c r="M5" s="15">
        <v>1100000</v>
      </c>
      <c r="N5" s="16">
        <v>0</v>
      </c>
      <c r="O5" s="8"/>
      <c r="P5" s="15">
        <v>600000</v>
      </c>
      <c r="Q5" s="16">
        <v>0</v>
      </c>
      <c r="R5" s="8"/>
    </row>
    <row r="6" spans="1:18" ht="18.75" customHeight="1" x14ac:dyDescent="0.2">
      <c r="A6" s="5"/>
      <c r="B6" s="324"/>
      <c r="C6" s="5"/>
      <c r="D6" s="12"/>
      <c r="E6" s="12"/>
      <c r="F6" s="12"/>
      <c r="G6" s="12"/>
      <c r="H6" s="12"/>
      <c r="I6" s="8"/>
      <c r="J6" s="13">
        <v>551000</v>
      </c>
      <c r="K6" s="14">
        <f>A4-550000</f>
        <v>-550000</v>
      </c>
      <c r="L6" s="8"/>
      <c r="M6" s="15">
        <v>1100001</v>
      </c>
      <c r="N6" s="16">
        <f>IF(E4&lt;=10000000,B4-1100000,IF(AND(E4&gt;10000000,E4&lt;=20000000),B4-1000000,B4-900000))</f>
        <v>-1100000</v>
      </c>
      <c r="O6" s="8"/>
      <c r="P6" s="15">
        <v>600001</v>
      </c>
      <c r="Q6" s="16">
        <f>IF(E4&lt;=10000000,B4-600000,IF(AND(E4&gt;10000000,E4&lt;=20000000),B4-500000,B4-400000))</f>
        <v>-600000</v>
      </c>
      <c r="R6" s="8"/>
    </row>
    <row r="7" spans="1:18" ht="18.75" customHeight="1" thickBot="1" x14ac:dyDescent="0.25">
      <c r="A7" s="5"/>
      <c r="B7" s="324"/>
      <c r="C7" s="5"/>
      <c r="D7" s="12"/>
      <c r="E7" s="12"/>
      <c r="F7" s="12"/>
      <c r="G7" s="12"/>
      <c r="H7" s="12"/>
      <c r="I7" s="8"/>
      <c r="J7" s="15">
        <v>1618999</v>
      </c>
      <c r="K7" s="16">
        <f>A4-550000</f>
        <v>-550000</v>
      </c>
      <c r="L7" s="8"/>
      <c r="M7" s="15">
        <v>3300000</v>
      </c>
      <c r="N7" s="16">
        <f>IF(E4&lt;=10000000,B4-1100000,IF(AND(E4&gt;10000000,E4&lt;=20000000),B4-1000000,B4-900000))</f>
        <v>-1100000</v>
      </c>
      <c r="O7" s="8"/>
      <c r="P7" s="15">
        <v>1300000</v>
      </c>
      <c r="Q7" s="16">
        <f>IF(E4&lt;=10000000,B4-600000,IF(AND(E4&gt;10000000,E4&lt;=20000000),B4-500000,B4-400000))</f>
        <v>-600000</v>
      </c>
      <c r="R7" s="8"/>
    </row>
    <row r="8" spans="1:18" ht="18.75" customHeight="1" thickBot="1" x14ac:dyDescent="0.25">
      <c r="A8" s="5"/>
      <c r="B8" s="43" t="s">
        <v>42</v>
      </c>
      <c r="C8" s="34" t="s">
        <v>13</v>
      </c>
      <c r="D8" s="35" t="s">
        <v>14</v>
      </c>
      <c r="E8" s="36" t="s">
        <v>29</v>
      </c>
      <c r="F8" s="39" t="s">
        <v>2</v>
      </c>
      <c r="G8" s="39" t="s">
        <v>187</v>
      </c>
      <c r="H8" s="12"/>
      <c r="I8" s="8"/>
      <c r="J8" s="15">
        <v>1619000</v>
      </c>
      <c r="K8" s="16">
        <v>1069000</v>
      </c>
      <c r="L8" s="8"/>
      <c r="M8" s="15">
        <v>3300001</v>
      </c>
      <c r="N8" s="16">
        <f>IF(E4&lt;=10000000,B4-(B4*0.25+275000),IF(AND(E4&gt;10000000,E4&lt;=20000000),B4-(B4*0.25+175000),B4-(B4*0.25+75000)))</f>
        <v>-275000</v>
      </c>
      <c r="O8" s="8"/>
      <c r="P8" s="15">
        <v>1300001</v>
      </c>
      <c r="Q8" s="16">
        <f>IF(E4&lt;=10000000,B4-(B4*0.25+275000),IF(AND(E4&gt;10000000,E4&lt;=20000000),B4-(B4*0.25+175000),B4-(B4*0.25+75000)))</f>
        <v>-275000</v>
      </c>
      <c r="R8" s="8"/>
    </row>
    <row r="9" spans="1:18" ht="18.75" customHeight="1" x14ac:dyDescent="0.2">
      <c r="A9" s="5"/>
      <c r="B9" s="43" t="s">
        <v>5</v>
      </c>
      <c r="C9" s="34">
        <f>C5</f>
        <v>0</v>
      </c>
      <c r="D9" s="35">
        <f t="shared" ref="D9:F9" si="0">D5</f>
        <v>0</v>
      </c>
      <c r="E9" s="36">
        <f t="shared" si="0"/>
        <v>0</v>
      </c>
      <c r="F9" s="39">
        <f t="shared" si="0"/>
        <v>0</v>
      </c>
      <c r="G9" s="39">
        <f t="shared" ref="G9:G19" si="1">IF(C9+D9&gt;0,1,0)</f>
        <v>0</v>
      </c>
      <c r="H9" s="12"/>
      <c r="I9" s="8"/>
      <c r="J9" s="15">
        <v>1619999</v>
      </c>
      <c r="K9" s="16">
        <v>1069000</v>
      </c>
      <c r="L9" s="8"/>
      <c r="M9" s="15">
        <v>4100000</v>
      </c>
      <c r="N9" s="16">
        <f>IF(E4&lt;=10000000,B4-(B4*0.25+275000),IF(AND(E4&gt;10000000,E4&lt;=20000000),B4-(B4*0.25+175000),B4-(B4*0.25+75000)))</f>
        <v>-275000</v>
      </c>
      <c r="O9" s="8"/>
      <c r="P9" s="15">
        <v>4100000</v>
      </c>
      <c r="Q9" s="16">
        <f>IF(E4&lt;=10000000,B4-(B4*0.25+275000),IF(AND(E4&gt;10000000,E4&lt;=20000000),B4-(B4*0.25+175000),B4-(B4*0.25+75000)))</f>
        <v>-275000</v>
      </c>
      <c r="R9" s="8"/>
    </row>
    <row r="10" spans="1:18" ht="18.75" customHeight="1" x14ac:dyDescent="0.2">
      <c r="A10" s="8"/>
      <c r="B10" s="44" t="s">
        <v>6</v>
      </c>
      <c r="C10" s="37">
        <f>C31</f>
        <v>0</v>
      </c>
      <c r="D10" s="54">
        <f t="shared" ref="D10:F10" si="2">D31</f>
        <v>0</v>
      </c>
      <c r="E10" s="46">
        <f t="shared" si="2"/>
        <v>0</v>
      </c>
      <c r="F10" s="52">
        <f t="shared" si="2"/>
        <v>0</v>
      </c>
      <c r="G10" s="52">
        <f t="shared" si="1"/>
        <v>0</v>
      </c>
      <c r="H10" s="12"/>
      <c r="I10" s="8"/>
      <c r="J10" s="15">
        <v>1620000</v>
      </c>
      <c r="K10" s="16">
        <v>1070000</v>
      </c>
      <c r="L10" s="8"/>
      <c r="M10" s="15">
        <v>4100001</v>
      </c>
      <c r="N10" s="16">
        <f>IF(E4&lt;=10000000,B4-(B4*0.15+685000),IF(AND(E4&gt;10000000,E4&lt;=20000000),B4-(B4*0.15+585000),B4-(B4*0.15+485000)))</f>
        <v>-685000</v>
      </c>
      <c r="O10" s="8"/>
      <c r="P10" s="15">
        <v>4100001</v>
      </c>
      <c r="Q10" s="16">
        <f>IF(E4&lt;=10000000,B4-(B4*0.15+685000),IF(AND(E4&gt;10000000,E4&lt;=20000000),B4-(B4*0.15+585000),B4-(B4*0.15+485000)))</f>
        <v>-685000</v>
      </c>
      <c r="R10" s="8"/>
    </row>
    <row r="11" spans="1:18" ht="18.75" customHeight="1" x14ac:dyDescent="0.2">
      <c r="A11" s="8"/>
      <c r="B11" s="44" t="s">
        <v>7</v>
      </c>
      <c r="C11" s="38">
        <f>C57</f>
        <v>0</v>
      </c>
      <c r="D11" s="54">
        <f t="shared" ref="D11:F11" si="3">D57</f>
        <v>0</v>
      </c>
      <c r="E11" s="47">
        <f t="shared" si="3"/>
        <v>0</v>
      </c>
      <c r="F11" s="52">
        <f t="shared" si="3"/>
        <v>0</v>
      </c>
      <c r="G11" s="52">
        <f t="shared" si="1"/>
        <v>0</v>
      </c>
      <c r="H11" s="12"/>
      <c r="I11" s="8"/>
      <c r="J11" s="15">
        <v>1621999</v>
      </c>
      <c r="K11" s="16">
        <v>1070000</v>
      </c>
      <c r="L11" s="8"/>
      <c r="M11" s="15">
        <v>7700000</v>
      </c>
      <c r="N11" s="16">
        <f>IF(E4&lt;=10000000,B4-(B4*0.15+685000),IF(AND(E4&gt;10000000,E4&lt;=20000000),B4-(B4*0.15+585000),B4-(B4*0.15+485000)))</f>
        <v>-685000</v>
      </c>
      <c r="O11" s="8"/>
      <c r="P11" s="15">
        <v>7700000</v>
      </c>
      <c r="Q11" s="16">
        <f>IF(E4&lt;=10000000,B4-(B4*0.15+685000),IF(AND(E4&gt;10000000,E4&lt;=20000000),B4-(B4*0.15+585000),B4-(B4*0.15+485000)))</f>
        <v>-685000</v>
      </c>
      <c r="R11" s="8"/>
    </row>
    <row r="12" spans="1:18" ht="18.75" customHeight="1" x14ac:dyDescent="0.2">
      <c r="A12" s="8"/>
      <c r="B12" s="44" t="s">
        <v>8</v>
      </c>
      <c r="C12" s="38">
        <f>C83</f>
        <v>0</v>
      </c>
      <c r="D12" s="54">
        <f t="shared" ref="D12:F12" si="4">D83</f>
        <v>0</v>
      </c>
      <c r="E12" s="47">
        <f t="shared" si="4"/>
        <v>0</v>
      </c>
      <c r="F12" s="52">
        <f t="shared" si="4"/>
        <v>0</v>
      </c>
      <c r="G12" s="52">
        <f t="shared" si="1"/>
        <v>0</v>
      </c>
      <c r="H12" s="12"/>
      <c r="I12" s="8"/>
      <c r="J12" s="15">
        <v>1622000</v>
      </c>
      <c r="K12" s="16">
        <v>1072000</v>
      </c>
      <c r="L12" s="8"/>
      <c r="M12" s="15">
        <v>7700001</v>
      </c>
      <c r="N12" s="16">
        <f>IF(E4&lt;=10000000,B4-(B4*0.05+1455000),IF(AND(E4&gt;10000000,E4&lt;=20000000),B4-(B4*0.05+1355000),B4-(B4*0.05+1255000)))</f>
        <v>-1455000</v>
      </c>
      <c r="O12" s="8"/>
      <c r="P12" s="15">
        <v>7700001</v>
      </c>
      <c r="Q12" s="20">
        <f>IF(E4&lt;=10000000,B4-(B4*0.05+1455000),IF(AND(E4&gt;10000000,E4&lt;=20000000),B4-(B4*0.05+1355000),B4-(B4*0.05+1255000)))</f>
        <v>-1455000</v>
      </c>
      <c r="R12" s="8"/>
    </row>
    <row r="13" spans="1:18" ht="18.75" customHeight="1" x14ac:dyDescent="0.2">
      <c r="A13" s="5"/>
      <c r="B13" s="44" t="s">
        <v>9</v>
      </c>
      <c r="C13" s="38">
        <f>C109</f>
        <v>0</v>
      </c>
      <c r="D13" s="54">
        <f t="shared" ref="D13:F13" si="5">D109</f>
        <v>0</v>
      </c>
      <c r="E13" s="47">
        <f t="shared" si="5"/>
        <v>0</v>
      </c>
      <c r="F13" s="52">
        <f t="shared" si="5"/>
        <v>0</v>
      </c>
      <c r="G13" s="52">
        <f t="shared" si="1"/>
        <v>0</v>
      </c>
      <c r="H13" s="12"/>
      <c r="I13" s="8"/>
      <c r="J13" s="15">
        <v>1623999</v>
      </c>
      <c r="K13" s="16">
        <v>1072000</v>
      </c>
      <c r="L13" s="8"/>
      <c r="M13" s="15">
        <v>10000000</v>
      </c>
      <c r="N13" s="16">
        <f>IF(E4&lt;=10000000,B4-(B4*0.05+1455000),IF(AND(E4&gt;10000000,E4&lt;=20000000),B4-(B4*0.05+1355000),B4-(B4*0.05+1255000)))</f>
        <v>-1455000</v>
      </c>
      <c r="O13" s="8"/>
      <c r="P13" s="15">
        <v>10000000</v>
      </c>
      <c r="Q13" s="293">
        <f>IF(E4&lt;=10000000,B4-(B4*0.05+1455000),IF(AND(E4&gt;10000000,E4&lt;=20000000),B4-(B4*0.05+1355000),B4-(B4*0.05+1255000)))</f>
        <v>-1455000</v>
      </c>
      <c r="R13" s="8"/>
    </row>
    <row r="14" spans="1:18" ht="18.75" customHeight="1" thickBot="1" x14ac:dyDescent="0.25">
      <c r="A14" s="5"/>
      <c r="B14" s="44" t="s">
        <v>10</v>
      </c>
      <c r="C14" s="38">
        <f>C135</f>
        <v>0</v>
      </c>
      <c r="D14" s="54">
        <f t="shared" ref="D14:F14" si="6">D135</f>
        <v>0</v>
      </c>
      <c r="E14" s="47">
        <f t="shared" si="6"/>
        <v>0</v>
      </c>
      <c r="F14" s="52">
        <f t="shared" si="6"/>
        <v>0</v>
      </c>
      <c r="G14" s="52">
        <f t="shared" si="1"/>
        <v>0</v>
      </c>
      <c r="H14" s="12"/>
      <c r="I14" s="8"/>
      <c r="J14" s="15">
        <v>1624000</v>
      </c>
      <c r="K14" s="16">
        <v>1074000</v>
      </c>
      <c r="L14" s="8"/>
      <c r="M14" s="17">
        <v>10000001</v>
      </c>
      <c r="N14" s="18">
        <f>IF(E4&lt;=10000000,B4-1955000,IF(AND(E4&gt;10000000,E4&lt;=20000000),B4-1855000,B4-1755000))</f>
        <v>-1955000</v>
      </c>
      <c r="O14" s="8"/>
      <c r="P14" s="17">
        <v>10000001</v>
      </c>
      <c r="Q14" s="294">
        <f>IF(E4&lt;=10000000,B4-1955000,IF(AND(E4&gt;10000000,E4&lt;=20000000),B4-1855000,B4-1755000))</f>
        <v>-1955000</v>
      </c>
      <c r="R14" s="8"/>
    </row>
    <row r="15" spans="1:18" ht="18.75" customHeight="1" x14ac:dyDescent="0.2">
      <c r="A15" s="5"/>
      <c r="B15" s="45" t="s">
        <v>11</v>
      </c>
      <c r="C15" s="48">
        <f>C161</f>
        <v>0</v>
      </c>
      <c r="D15" s="55">
        <f t="shared" ref="D15:F15" si="7">D161</f>
        <v>0</v>
      </c>
      <c r="E15" s="46">
        <f t="shared" si="7"/>
        <v>0</v>
      </c>
      <c r="F15" s="52">
        <f t="shared" si="7"/>
        <v>0</v>
      </c>
      <c r="G15" s="52">
        <f t="shared" si="1"/>
        <v>0</v>
      </c>
      <c r="H15" s="12"/>
      <c r="I15" s="8"/>
      <c r="J15" s="15">
        <v>1627999</v>
      </c>
      <c r="K15" s="16">
        <v>1074000</v>
      </c>
      <c r="L15" s="8"/>
      <c r="O15" s="8"/>
      <c r="R15" s="8"/>
    </row>
    <row r="16" spans="1:18" ht="18.75" customHeight="1" x14ac:dyDescent="0.2">
      <c r="A16" s="5"/>
      <c r="B16" s="56" t="s">
        <v>44</v>
      </c>
      <c r="C16" s="48">
        <f>C187</f>
        <v>0</v>
      </c>
      <c r="D16" s="55">
        <f t="shared" ref="D16:F16" si="8">D187</f>
        <v>0</v>
      </c>
      <c r="E16" s="60">
        <f t="shared" si="8"/>
        <v>0</v>
      </c>
      <c r="F16" s="52">
        <f t="shared" si="8"/>
        <v>0</v>
      </c>
      <c r="G16" s="52">
        <f t="shared" si="1"/>
        <v>0</v>
      </c>
      <c r="H16" s="12"/>
      <c r="I16" s="8"/>
      <c r="J16" s="15">
        <v>1628000</v>
      </c>
      <c r="K16" s="16">
        <f>ROUNDDOWN($A$4/4,-3)*2.4+100000</f>
        <v>100000</v>
      </c>
      <c r="L16" s="8"/>
      <c r="O16" s="8"/>
      <c r="R16" s="8"/>
    </row>
    <row r="17" spans="1:18" ht="18.75" customHeight="1" x14ac:dyDescent="0.2">
      <c r="A17" s="5"/>
      <c r="B17" s="56" t="s">
        <v>48</v>
      </c>
      <c r="C17" s="48">
        <f>C213</f>
        <v>0</v>
      </c>
      <c r="D17" s="55">
        <f t="shared" ref="D17:F17" si="9">D213</f>
        <v>0</v>
      </c>
      <c r="E17" s="60">
        <f t="shared" si="9"/>
        <v>0</v>
      </c>
      <c r="F17" s="52">
        <f t="shared" si="9"/>
        <v>0</v>
      </c>
      <c r="G17" s="52">
        <f t="shared" si="1"/>
        <v>0</v>
      </c>
      <c r="H17" s="12"/>
      <c r="I17" s="8"/>
      <c r="J17" s="15">
        <v>1799999</v>
      </c>
      <c r="K17" s="16">
        <f>ROUNDDOWN($A$4/4,-3)*2.4+100000</f>
        <v>100000</v>
      </c>
      <c r="L17" s="8"/>
      <c r="O17" s="8"/>
      <c r="R17" s="8"/>
    </row>
    <row r="18" spans="1:18" ht="18.75" customHeight="1" x14ac:dyDescent="0.2">
      <c r="A18" s="8"/>
      <c r="B18" s="57" t="s">
        <v>49</v>
      </c>
      <c r="C18" s="325">
        <f>C239</f>
        <v>0</v>
      </c>
      <c r="D18" s="55">
        <f t="shared" ref="D18:F18" si="10">D239</f>
        <v>0</v>
      </c>
      <c r="E18" s="61">
        <f t="shared" si="10"/>
        <v>0</v>
      </c>
      <c r="F18" s="52">
        <f t="shared" si="10"/>
        <v>0</v>
      </c>
      <c r="G18" s="52">
        <f t="shared" si="1"/>
        <v>0</v>
      </c>
      <c r="H18" s="12"/>
      <c r="I18" s="8"/>
      <c r="J18" s="15">
        <v>1800000</v>
      </c>
      <c r="K18" s="16">
        <f>ROUNDDOWN($A$4/4,-3)*2.8-80000</f>
        <v>-80000</v>
      </c>
      <c r="L18" s="8"/>
      <c r="O18" s="8"/>
      <c r="R18" s="8"/>
    </row>
    <row r="19" spans="1:18" ht="18.75" customHeight="1" thickBot="1" x14ac:dyDescent="0.25">
      <c r="A19" s="8"/>
      <c r="B19" s="58" t="s">
        <v>50</v>
      </c>
      <c r="C19" s="326">
        <f>C265</f>
        <v>0</v>
      </c>
      <c r="D19" s="55">
        <f t="shared" ref="D19:F19" si="11">D265</f>
        <v>0</v>
      </c>
      <c r="E19" s="62">
        <f t="shared" si="11"/>
        <v>0</v>
      </c>
      <c r="F19" s="63">
        <f t="shared" si="11"/>
        <v>0</v>
      </c>
      <c r="G19" s="63">
        <f t="shared" si="1"/>
        <v>0</v>
      </c>
      <c r="H19" s="12"/>
      <c r="I19" s="8"/>
      <c r="J19" s="15">
        <v>3599999</v>
      </c>
      <c r="K19" s="16">
        <f>ROUNDDOWN($A$4/4,-3)*2.8-80000</f>
        <v>-80000</v>
      </c>
      <c r="L19" s="8"/>
      <c r="O19" s="8"/>
      <c r="R19" s="8"/>
    </row>
    <row r="20" spans="1:18" ht="18.75" customHeight="1" thickTop="1" thickBot="1" x14ac:dyDescent="0.25">
      <c r="B20" s="40" t="s">
        <v>43</v>
      </c>
      <c r="C20" s="49">
        <f>SUM(C9:C19)</f>
        <v>0</v>
      </c>
      <c r="D20" s="51">
        <f t="shared" ref="D20:G20" si="12">SUM(D9:D19)</f>
        <v>0</v>
      </c>
      <c r="E20" s="50">
        <f t="shared" si="12"/>
        <v>0</v>
      </c>
      <c r="F20" s="53">
        <f t="shared" si="12"/>
        <v>0</v>
      </c>
      <c r="G20" s="53">
        <f t="shared" si="12"/>
        <v>0</v>
      </c>
      <c r="H20" s="12"/>
      <c r="I20" s="8"/>
      <c r="J20" s="15">
        <v>3600000</v>
      </c>
      <c r="K20" s="16">
        <f>ROUNDDOWN($A$4/4,-3)*3.2-440000</f>
        <v>-440000</v>
      </c>
      <c r="L20" s="8"/>
      <c r="O20" s="8"/>
      <c r="R20" s="8"/>
    </row>
    <row r="21" spans="1:18" ht="18.75" customHeight="1" x14ac:dyDescent="0.2">
      <c r="A21" s="8"/>
      <c r="B21" s="324"/>
      <c r="C21" s="5"/>
      <c r="D21" s="12"/>
      <c r="E21" s="12"/>
      <c r="F21" s="12"/>
      <c r="G21" s="12"/>
      <c r="H21" s="12"/>
      <c r="I21" s="8"/>
      <c r="J21" s="15">
        <v>6599999</v>
      </c>
      <c r="K21" s="16">
        <f>ROUNDDOWN($A$4/4,-3)*3.2-440000</f>
        <v>-440000</v>
      </c>
      <c r="L21" s="8"/>
      <c r="O21" s="8"/>
      <c r="R21" s="8"/>
    </row>
    <row r="22" spans="1:18" ht="18.75" customHeight="1" x14ac:dyDescent="0.2">
      <c r="A22" s="8"/>
      <c r="B22" s="324"/>
      <c r="C22" s="5"/>
      <c r="D22" s="12"/>
      <c r="E22" s="12"/>
      <c r="F22" s="12"/>
      <c r="G22" s="12"/>
      <c r="H22" s="12"/>
      <c r="I22" s="8"/>
      <c r="J22" s="15">
        <v>6600000</v>
      </c>
      <c r="K22" s="16">
        <f>$A$4*0.9-1100000</f>
        <v>-1100000</v>
      </c>
      <c r="L22" s="8"/>
      <c r="O22" s="8"/>
      <c r="R22" s="8"/>
    </row>
    <row r="23" spans="1:18" ht="18.75" customHeight="1" thickBot="1" x14ac:dyDescent="0.25">
      <c r="A23" s="8"/>
      <c r="B23" s="324"/>
      <c r="C23" s="5"/>
      <c r="D23" s="12"/>
      <c r="E23" s="12"/>
      <c r="F23" s="12"/>
      <c r="G23" s="12"/>
      <c r="H23" s="12"/>
      <c r="I23" s="8"/>
      <c r="J23" s="19">
        <v>8499999</v>
      </c>
      <c r="K23" s="16">
        <f>$A$4*0.9-1100000</f>
        <v>-1100000</v>
      </c>
      <c r="L23" s="8"/>
      <c r="O23" s="8"/>
      <c r="R23" s="8"/>
    </row>
    <row r="24" spans="1:18" ht="18.75" customHeight="1" thickBot="1" x14ac:dyDescent="0.25">
      <c r="B24" s="324"/>
      <c r="C24" s="12"/>
      <c r="D24" s="12"/>
      <c r="E24" s="12"/>
      <c r="F24" s="12"/>
      <c r="G24" s="12"/>
      <c r="H24" s="12"/>
      <c r="I24" s="8"/>
      <c r="J24" s="235">
        <v>8500000</v>
      </c>
      <c r="K24" s="234">
        <f>A4-1950000</f>
        <v>-1950000</v>
      </c>
      <c r="L24" s="8"/>
      <c r="M24" s="233" t="s">
        <v>154</v>
      </c>
      <c r="O24" s="8"/>
      <c r="R24" s="8"/>
    </row>
    <row r="25" spans="1:18" ht="18.75" customHeight="1" x14ac:dyDescent="0.2">
      <c r="B25" s="196"/>
      <c r="C25" s="12"/>
      <c r="D25" s="12"/>
      <c r="E25" s="12"/>
      <c r="F25" s="12"/>
      <c r="G25" s="12"/>
      <c r="H25" s="12"/>
      <c r="I25" s="8"/>
      <c r="J25" s="229" t="b">
        <f>IF(税率登録シート!$D$2&lt;=2016,14999999,IF(税率登録シート!$D$2=2017,11999999,IF(税率登録シート!$D$2=2018,"")))</f>
        <v>0</v>
      </c>
      <c r="K25" s="230" t="str">
        <f>IF(税率登録シート!$D$2&lt;=2017,A4*0.95-1700000,"")</f>
        <v/>
      </c>
      <c r="L25" s="8"/>
      <c r="M25" s="1" t="s">
        <v>171</v>
      </c>
      <c r="O25" s="8"/>
      <c r="R25" s="8"/>
    </row>
    <row r="26" spans="1:18" ht="18.75" customHeight="1" thickBot="1" x14ac:dyDescent="0.25">
      <c r="B26" s="196"/>
      <c r="C26" s="12"/>
      <c r="D26" s="12"/>
      <c r="E26" s="12"/>
      <c r="F26" s="12"/>
      <c r="G26" s="12"/>
      <c r="H26" s="12"/>
      <c r="I26" s="8"/>
      <c r="J26" s="231" t="b">
        <f>IF(税率登録シート!$D$2&lt;=2016,15000000,IF(税率登録シート!$D$2=2017,12000000,IF(税率登録シート!$D$2=2018,"")))</f>
        <v>0</v>
      </c>
      <c r="K26" s="232" t="b">
        <f>IF(税率登録シート!$D$2&lt;=2016,A4-2450000,IF(税率登録シート!$D$2=2017,A4-2300000,IF(税率登録シート!$D$2=2018,"")))</f>
        <v>0</v>
      </c>
      <c r="L26" s="8"/>
      <c r="O26" s="8"/>
      <c r="R26" s="8"/>
    </row>
    <row r="27" spans="1:18" ht="18.75" customHeight="1" x14ac:dyDescent="0.2">
      <c r="B27" s="196"/>
      <c r="C27" s="12"/>
      <c r="D27" s="12"/>
      <c r="E27" s="12"/>
      <c r="F27" s="12"/>
      <c r="G27" s="12"/>
      <c r="H27" s="12"/>
    </row>
    <row r="28" spans="1:18" ht="18.75" customHeight="1" thickBot="1" x14ac:dyDescent="0.25">
      <c r="A28" s="59" t="s">
        <v>6</v>
      </c>
      <c r="M28" s="787" t="str">
        <f>$M$2</f>
        <v>昭和35年１月１日 以前</v>
      </c>
      <c r="N28" s="787"/>
      <c r="P28" s="787" t="str">
        <f>$P$2</f>
        <v>昭和35年１月２日 以降</v>
      </c>
      <c r="Q28" s="787"/>
    </row>
    <row r="29" spans="1:18" ht="18.75" customHeight="1" thickBot="1" x14ac:dyDescent="0.2">
      <c r="A29" s="11" t="s">
        <v>12</v>
      </c>
      <c r="B29" s="11" t="s">
        <v>4</v>
      </c>
      <c r="C29" s="23" t="s">
        <v>13</v>
      </c>
      <c r="D29" s="24" t="s">
        <v>14</v>
      </c>
      <c r="E29" s="31" t="s">
        <v>29</v>
      </c>
      <c r="F29" s="33" t="s">
        <v>2</v>
      </c>
      <c r="G29" s="121"/>
      <c r="H29" s="121"/>
      <c r="I29" s="2"/>
      <c r="J29" s="3" t="s">
        <v>12</v>
      </c>
      <c r="K29" s="4" t="s">
        <v>13</v>
      </c>
      <c r="M29" s="3" t="s">
        <v>4</v>
      </c>
      <c r="N29" s="4" t="s">
        <v>14</v>
      </c>
      <c r="P29" s="3" t="s">
        <v>4</v>
      </c>
      <c r="Q29" s="4" t="s">
        <v>14</v>
      </c>
    </row>
    <row r="30" spans="1:18" ht="18.75" customHeight="1" thickTop="1" thickBot="1" x14ac:dyDescent="0.25">
      <c r="A30" s="5">
        <f>入力試算シート!I23</f>
        <v>0</v>
      </c>
      <c r="B30" s="5">
        <f>入力試算シート!N23</f>
        <v>0</v>
      </c>
      <c r="C30" s="21">
        <f>IF(入力試算シート!AO23="無し",IF(VLOOKUP($A30,$J30:$K52,2,TRUE)-IF($D30&gt;=100000,100000,$D30)&lt;0,0,VLOOKUP($A30,$J30:$K52,2,TRUE)-IF($D30&gt;=100000,100000,$D30)),速算表!K50-IF($A30&lt;10000000,ROUNDUP(($A30-8500000)*0.1,0),150000)-IF($D30&gt;=100000,100000,$D30))</f>
        <v>0</v>
      </c>
      <c r="D30" s="30">
        <f>IF(入力試算シート!S23="以前",VLOOKUP($B$30,$M$30:$N$40,2,TRUE),VLOOKUP($B$30,$P$30:$Q$40,2,TRUE))</f>
        <v>0</v>
      </c>
      <c r="E30" s="41">
        <f>入力試算シート!U23</f>
        <v>0</v>
      </c>
      <c r="F30" s="42">
        <f>IF(SUM($C30:$E30)&lt;=0,0,SUM($C30:$E30))</f>
        <v>0</v>
      </c>
      <c r="G30" s="122"/>
      <c r="H30" s="122"/>
      <c r="I30" s="5"/>
      <c r="J30" s="6">
        <v>0</v>
      </c>
      <c r="K30" s="7">
        <v>0</v>
      </c>
      <c r="L30" s="8"/>
      <c r="M30" s="9">
        <v>0</v>
      </c>
      <c r="N30" s="10">
        <v>0</v>
      </c>
      <c r="O30" s="8"/>
      <c r="P30" s="9">
        <v>0</v>
      </c>
      <c r="Q30" s="10">
        <v>0</v>
      </c>
      <c r="R30" s="8"/>
    </row>
    <row r="31" spans="1:18" ht="18.75" customHeight="1" thickBot="1" x14ac:dyDescent="0.25">
      <c r="A31" s="5"/>
      <c r="B31" s="5" t="s">
        <v>205</v>
      </c>
      <c r="C31" s="320">
        <f>IF(入力試算シート!AO23="無し",IF(VLOOKUP($A30,$J30:$K52,2,TRUE)-IF($D31&gt;=100000,100000,$D31)&lt;0,0,VLOOKUP($A30,$J30:$K52,2,TRUE)-IF($D31&gt;=100000,100000,$D31)),速算表!K50-IF($A30&lt;10000000,ROUNDUP(($A30-8500000)*0.1,0),150000)-IF($D31&gt;=100000,100000,$D31))</f>
        <v>0</v>
      </c>
      <c r="D31" s="321">
        <f>IF($D30=0,0,IF(AND(入力試算シート!S48="以前",$B30&lt;=1250000),$B30-1100000-$N$32,IF(入力試算シート!S48="以降",$D30,$D30-150000)))</f>
        <v>0</v>
      </c>
      <c r="E31" s="322">
        <f>$E30</f>
        <v>0</v>
      </c>
      <c r="F31" s="323">
        <f>IF(SUM($C31:$E31)&lt;=0,0,SUM($C31:$E31))</f>
        <v>0</v>
      </c>
      <c r="G31" s="12"/>
      <c r="H31" s="12"/>
      <c r="I31" s="12"/>
      <c r="J31" s="13">
        <v>550999</v>
      </c>
      <c r="K31" s="14">
        <v>0</v>
      </c>
      <c r="L31" s="8"/>
      <c r="M31" s="15">
        <v>1100000</v>
      </c>
      <c r="N31" s="16">
        <v>0</v>
      </c>
      <c r="O31" s="8"/>
      <c r="P31" s="15">
        <v>600000</v>
      </c>
      <c r="Q31" s="16">
        <v>0</v>
      </c>
      <c r="R31" s="8"/>
    </row>
    <row r="32" spans="1:18" ht="18.75" customHeight="1" x14ac:dyDescent="0.2">
      <c r="A32" s="5"/>
      <c r="B32" s="5"/>
      <c r="C32" s="5"/>
      <c r="D32" s="8"/>
      <c r="E32" s="8"/>
      <c r="F32" s="8"/>
      <c r="G32" s="8"/>
      <c r="H32" s="8"/>
      <c r="I32" s="8"/>
      <c r="J32" s="13">
        <v>551000</v>
      </c>
      <c r="K32" s="14">
        <f>A30-550000</f>
        <v>-550000</v>
      </c>
      <c r="L32" s="8"/>
      <c r="M32" s="15">
        <v>1100001</v>
      </c>
      <c r="N32" s="16">
        <f>IF(E30&lt;=10000000,B30-1100000,IF(AND(E30&gt;10000000,E30&lt;=20000000),B30-1000000,B30-900000))</f>
        <v>-1100000</v>
      </c>
      <c r="O32" s="8"/>
      <c r="P32" s="15">
        <v>600001</v>
      </c>
      <c r="Q32" s="16">
        <f>IF(E30&lt;=10000000,B30-600000,IF(AND(E30&gt;10000000,E30&lt;=20000000),B30-500000,B30-400000))</f>
        <v>-600000</v>
      </c>
      <c r="R32" s="8"/>
    </row>
    <row r="33" spans="1:18" ht="18.75" customHeight="1" x14ac:dyDescent="0.2">
      <c r="A33" s="5"/>
      <c r="B33" s="5"/>
      <c r="C33" s="5"/>
      <c r="D33" s="8"/>
      <c r="E33" s="8"/>
      <c r="F33" s="8"/>
      <c r="G33" s="8"/>
      <c r="H33" s="8"/>
      <c r="I33" s="8"/>
      <c r="J33" s="15">
        <v>1618999</v>
      </c>
      <c r="K33" s="16">
        <f>A30-550000</f>
        <v>-550000</v>
      </c>
      <c r="L33" s="8"/>
      <c r="M33" s="15">
        <v>3300000</v>
      </c>
      <c r="N33" s="16">
        <f>IF(E30&lt;=10000000,B30-1100000,IF(AND(E30&gt;10000000,E30&lt;=20000000),B30-1000000,B30-900000))</f>
        <v>-1100000</v>
      </c>
      <c r="O33" s="8"/>
      <c r="P33" s="15">
        <v>1300000</v>
      </c>
      <c r="Q33" s="16">
        <f>IF(E30&lt;=10000000,B30-600000,IF(AND(E30&gt;10000000,E30&lt;=20000000),B30-500000,B30-400000))</f>
        <v>-600000</v>
      </c>
      <c r="R33" s="8"/>
    </row>
    <row r="34" spans="1:18" ht="18.75" customHeight="1" x14ac:dyDescent="0.2">
      <c r="A34" s="5"/>
      <c r="B34" s="5"/>
      <c r="C34" s="5"/>
      <c r="D34" s="8"/>
      <c r="E34" s="8"/>
      <c r="F34" s="8"/>
      <c r="G34" s="8"/>
      <c r="H34" s="8"/>
      <c r="I34" s="8"/>
      <c r="J34" s="15">
        <v>1619000</v>
      </c>
      <c r="K34" s="16">
        <v>1069000</v>
      </c>
      <c r="L34" s="8"/>
      <c r="M34" s="15">
        <v>3300001</v>
      </c>
      <c r="N34" s="16">
        <f>IF(E30&lt;=10000000,B30-(B30*0.25+275000),IF(AND(E30&gt;10000000,E30&lt;=20000000),B30-(B30*0.25+175000),B30-(B30*0.25+75000)))</f>
        <v>-275000</v>
      </c>
      <c r="O34" s="8"/>
      <c r="P34" s="15">
        <v>1300001</v>
      </c>
      <c r="Q34" s="16">
        <f>IF(E30&lt;=10000000,B30-(B30*0.25+275000),IF(AND(E30&gt;10000000,E30&lt;=20000000),B30-(B30*0.25+175000),B30-(B30*0.25+75000)))</f>
        <v>-275000</v>
      </c>
      <c r="R34" s="8"/>
    </row>
    <row r="35" spans="1:18" ht="18.75" customHeight="1" x14ac:dyDescent="0.2">
      <c r="A35" s="5"/>
      <c r="B35" s="5"/>
      <c r="C35" s="5"/>
      <c r="D35" s="8"/>
      <c r="E35" s="8"/>
      <c r="F35" s="8"/>
      <c r="G35" s="8"/>
      <c r="H35" s="8"/>
      <c r="I35" s="8"/>
      <c r="J35" s="15">
        <v>1619999</v>
      </c>
      <c r="K35" s="16">
        <v>1069000</v>
      </c>
      <c r="L35" s="8"/>
      <c r="M35" s="15">
        <v>4100000</v>
      </c>
      <c r="N35" s="16">
        <f>IF(E30&lt;=10000000,B30-(B30*0.25+275000),IF(AND(E30&gt;10000000,E30&lt;=20000000),B30-(B30*0.25+175000),B30-(B30*0.25+75000)))</f>
        <v>-275000</v>
      </c>
      <c r="O35" s="8"/>
      <c r="P35" s="15">
        <v>4100000</v>
      </c>
      <c r="Q35" s="16">
        <f>IF(E30&lt;=10000000,B30-(B30*0.25+275000),IF(AND(E30&gt;10000000,E30&lt;=20000000),B30-(B30*0.25+175000),B30-(B30*0.25+75000)))</f>
        <v>-275000</v>
      </c>
      <c r="R35" s="8"/>
    </row>
    <row r="36" spans="1:18" ht="18.75" customHeight="1" x14ac:dyDescent="0.2">
      <c r="A36" s="5"/>
      <c r="B36" s="5"/>
      <c r="C36" s="5"/>
      <c r="D36" s="8"/>
      <c r="E36" s="8"/>
      <c r="F36" s="8"/>
      <c r="G36" s="8"/>
      <c r="H36" s="8"/>
      <c r="I36" s="8"/>
      <c r="J36" s="15">
        <v>1620000</v>
      </c>
      <c r="K36" s="16">
        <v>1070000</v>
      </c>
      <c r="L36" s="8"/>
      <c r="M36" s="15">
        <v>4100001</v>
      </c>
      <c r="N36" s="16">
        <f>IF(E30&lt;=10000000,B30-(B30*0.15+685000),IF(AND(E30&gt;10000000,E30&lt;=20000000),B30-(B30*0.15+585000),B30-(B30*0.15+485000)))</f>
        <v>-685000</v>
      </c>
      <c r="O36" s="8"/>
      <c r="P36" s="15">
        <v>4100001</v>
      </c>
      <c r="Q36" s="16">
        <f>IF(E30&lt;=10000000,B30-(B30*0.15+685000),IF(AND(E30&gt;10000000,E30&lt;=20000000),B30-(B30*0.15+585000),B30-(B30*0.15+485000)))</f>
        <v>-685000</v>
      </c>
      <c r="R36" s="8"/>
    </row>
    <row r="37" spans="1:18" ht="18.75" customHeight="1" x14ac:dyDescent="0.2">
      <c r="A37" s="8"/>
      <c r="B37" s="8"/>
      <c r="C37" s="8"/>
      <c r="D37" s="8"/>
      <c r="E37" s="8"/>
      <c r="F37" s="8"/>
      <c r="G37" s="8"/>
      <c r="H37" s="8"/>
      <c r="I37" s="8"/>
      <c r="J37" s="15">
        <v>1621999</v>
      </c>
      <c r="K37" s="16">
        <v>1070000</v>
      </c>
      <c r="L37" s="8"/>
      <c r="M37" s="15">
        <v>7700000</v>
      </c>
      <c r="N37" s="16">
        <f>IF(E30&lt;=10000000,B30-(B30*0.15+685000),IF(AND(E30&gt;10000000,E30&lt;=20000000),B30-(B30*0.15+585000),B30-(B30*0.15+485000)))</f>
        <v>-685000</v>
      </c>
      <c r="O37" s="8"/>
      <c r="P37" s="15">
        <v>7700000</v>
      </c>
      <c r="Q37" s="16">
        <f>IF(E30&lt;=10000000,B30-(B30*0.15+685000),IF(AND(E30&gt;10000000,E30&lt;=20000000),B30-(B30*0.15+585000),B30-(B30*0.15+485000)))</f>
        <v>-685000</v>
      </c>
      <c r="R37" s="8"/>
    </row>
    <row r="38" spans="1:18" ht="18.75" customHeight="1" x14ac:dyDescent="0.2">
      <c r="A38" s="8"/>
      <c r="B38" s="8"/>
      <c r="C38" s="8"/>
      <c r="D38" s="8"/>
      <c r="E38" s="8"/>
      <c r="F38" s="8"/>
      <c r="G38" s="8"/>
      <c r="H38" s="8"/>
      <c r="I38" s="8"/>
      <c r="J38" s="15">
        <v>1622000</v>
      </c>
      <c r="K38" s="16">
        <v>1072000</v>
      </c>
      <c r="L38" s="8"/>
      <c r="M38" s="15">
        <v>7700001</v>
      </c>
      <c r="N38" s="16">
        <f>IF(E30&lt;=10000000,B30-(B30*0.05+1455000),IF(AND(E30&gt;10000000,E30&lt;=20000000),B30-(B30*0.05+1355000),B30-(B30*0.05+1255000)))</f>
        <v>-1455000</v>
      </c>
      <c r="O38" s="8"/>
      <c r="P38" s="15">
        <v>7700001</v>
      </c>
      <c r="Q38" s="20">
        <f>IF(E30&lt;=10000000,B30-(B30*0.05+1455000),IF(AND(E30&gt;10000000,E30&lt;=20000000),B30-(B30*0.05+1355000),B30-(B30*0.05+1255000)))</f>
        <v>-1455000</v>
      </c>
      <c r="R38" s="8"/>
    </row>
    <row r="39" spans="1:18" ht="18.75" customHeight="1" x14ac:dyDescent="0.2">
      <c r="A39" s="8"/>
      <c r="B39" s="8"/>
      <c r="C39" s="8"/>
      <c r="D39" s="8"/>
      <c r="E39" s="8"/>
      <c r="F39" s="8"/>
      <c r="G39" s="8"/>
      <c r="H39" s="8"/>
      <c r="I39" s="8"/>
      <c r="J39" s="15">
        <v>1623999</v>
      </c>
      <c r="K39" s="16">
        <v>1072000</v>
      </c>
      <c r="L39" s="8"/>
      <c r="M39" s="15">
        <v>10000000</v>
      </c>
      <c r="N39" s="16">
        <f>IF(E30&lt;=10000000,B30-(B30*0.05+1455000),IF(AND(E30&gt;10000000,E30&lt;=20000000),B30-(B30*0.05+1355000),B30-(B30*0.05+1255000)))</f>
        <v>-1455000</v>
      </c>
      <c r="O39" s="8"/>
      <c r="P39" s="15">
        <v>10000000</v>
      </c>
      <c r="Q39" s="293">
        <f>IF(E30&lt;=10000000,B30-(B30*0.05+1455000),IF(AND(E30&gt;10000000,E30&lt;=20000000),B30-(B30*0.05+1355000),B30-(B30*0.05+1255000)))</f>
        <v>-1455000</v>
      </c>
      <c r="R39" s="8"/>
    </row>
    <row r="40" spans="1:18" ht="18.75" customHeight="1" thickBot="1" x14ac:dyDescent="0.25">
      <c r="A40" s="8"/>
      <c r="B40" s="8"/>
      <c r="C40" s="8"/>
      <c r="D40" s="8"/>
      <c r="E40" s="8"/>
      <c r="F40" s="8"/>
      <c r="G40" s="8"/>
      <c r="H40" s="8"/>
      <c r="I40" s="8"/>
      <c r="J40" s="15">
        <v>1624000</v>
      </c>
      <c r="K40" s="16">
        <v>1074000</v>
      </c>
      <c r="L40" s="8"/>
      <c r="M40" s="17">
        <v>10000001</v>
      </c>
      <c r="N40" s="18">
        <f>IF(E30&lt;=10000000,B30-1955000,IF(AND(E30&gt;10000000,E30&lt;=20000000),B30-1855000,B30-1755000))</f>
        <v>-1955000</v>
      </c>
      <c r="O40" s="8"/>
      <c r="P40" s="17">
        <v>10000001</v>
      </c>
      <c r="Q40" s="294">
        <f>IF(E30&lt;=10000000,B30-1955000,IF(AND(E30&gt;10000000,E30&lt;=20000000),B30-1855000,B30-1755000))</f>
        <v>-1955000</v>
      </c>
      <c r="R40" s="8"/>
    </row>
    <row r="41" spans="1:18" ht="18.75" customHeight="1" x14ac:dyDescent="0.2">
      <c r="A41" s="8"/>
      <c r="B41" s="8"/>
      <c r="C41" s="8"/>
      <c r="D41" s="8"/>
      <c r="E41" s="8"/>
      <c r="F41" s="8"/>
      <c r="G41" s="8"/>
      <c r="H41" s="8"/>
      <c r="I41" s="8"/>
      <c r="J41" s="15">
        <v>1627999</v>
      </c>
      <c r="K41" s="16">
        <v>1074000</v>
      </c>
      <c r="L41" s="8"/>
      <c r="O41" s="8"/>
      <c r="R41" s="8"/>
    </row>
    <row r="42" spans="1:18" ht="18.75" customHeight="1" x14ac:dyDescent="0.2">
      <c r="A42" s="8"/>
      <c r="B42" s="8"/>
      <c r="C42" s="8"/>
      <c r="D42" s="8"/>
      <c r="E42" s="8"/>
      <c r="F42" s="8"/>
      <c r="G42" s="8"/>
      <c r="H42" s="8"/>
      <c r="I42" s="8"/>
      <c r="J42" s="15">
        <v>1628000</v>
      </c>
      <c r="K42" s="16">
        <f>ROUNDDOWN($A$30/4,-3)*2.4+100000</f>
        <v>100000</v>
      </c>
      <c r="L42" s="8"/>
      <c r="O42" s="8"/>
      <c r="R42" s="8"/>
    </row>
    <row r="43" spans="1:18" ht="18.75" customHeight="1" x14ac:dyDescent="0.2">
      <c r="A43" s="8"/>
      <c r="B43" s="8"/>
      <c r="C43" s="8"/>
      <c r="D43" s="8"/>
      <c r="E43" s="8"/>
      <c r="F43" s="8"/>
      <c r="G43" s="8"/>
      <c r="H43" s="8"/>
      <c r="I43" s="8"/>
      <c r="J43" s="15">
        <v>1799999</v>
      </c>
      <c r="K43" s="16">
        <f>ROUNDDOWN($A$30/4,-3)*2.4+100000</f>
        <v>100000</v>
      </c>
      <c r="L43" s="8"/>
      <c r="O43" s="8"/>
      <c r="R43" s="8"/>
    </row>
    <row r="44" spans="1:18" ht="18.75" customHeight="1" x14ac:dyDescent="0.2">
      <c r="A44" s="8"/>
      <c r="B44" s="8"/>
      <c r="C44" s="8"/>
      <c r="D44" s="8"/>
      <c r="E44" s="8"/>
      <c r="F44" s="8"/>
      <c r="G44" s="8"/>
      <c r="H44" s="8"/>
      <c r="I44" s="8"/>
      <c r="J44" s="15">
        <v>1800000</v>
      </c>
      <c r="K44" s="16">
        <f>ROUNDDOWN($A$30/4,-3)*2.8-80000</f>
        <v>-80000</v>
      </c>
      <c r="L44" s="8"/>
      <c r="O44" s="8"/>
      <c r="R44" s="8"/>
    </row>
    <row r="45" spans="1:18" ht="18.75" customHeight="1" x14ac:dyDescent="0.2">
      <c r="A45" s="8"/>
      <c r="B45" s="8"/>
      <c r="C45" s="8"/>
      <c r="D45" s="8"/>
      <c r="E45" s="8"/>
      <c r="F45" s="8"/>
      <c r="G45" s="8"/>
      <c r="H45" s="8"/>
      <c r="I45" s="8"/>
      <c r="J45" s="15">
        <v>3599999</v>
      </c>
      <c r="K45" s="16">
        <f>ROUNDDOWN($A$30/4,-3)*2.8-80000</f>
        <v>-80000</v>
      </c>
      <c r="L45" s="8"/>
      <c r="O45" s="8"/>
      <c r="R45" s="8"/>
    </row>
    <row r="46" spans="1:18" ht="18.75" customHeight="1" x14ac:dyDescent="0.2">
      <c r="A46" s="8"/>
      <c r="B46" s="8"/>
      <c r="C46" s="8"/>
      <c r="D46" s="8"/>
      <c r="E46" s="8"/>
      <c r="F46" s="8"/>
      <c r="G46" s="8"/>
      <c r="H46" s="8"/>
      <c r="I46" s="8"/>
      <c r="J46" s="15">
        <v>3600000</v>
      </c>
      <c r="K46" s="16">
        <f>ROUNDDOWN($A$30/4,-3)*3.2-440000</f>
        <v>-440000</v>
      </c>
      <c r="L46" s="8"/>
      <c r="O46" s="8"/>
      <c r="R46" s="8"/>
    </row>
    <row r="47" spans="1:18" ht="18.75" customHeight="1" x14ac:dyDescent="0.2">
      <c r="A47" s="8"/>
      <c r="B47" s="8"/>
      <c r="C47" s="8"/>
      <c r="D47" s="8"/>
      <c r="E47" s="8"/>
      <c r="F47" s="8"/>
      <c r="G47" s="8"/>
      <c r="H47" s="8"/>
      <c r="I47" s="8"/>
      <c r="J47" s="15">
        <v>6599999</v>
      </c>
      <c r="K47" s="16">
        <f>ROUNDDOWN($A$30/4,-3)*3.2-440000</f>
        <v>-440000</v>
      </c>
      <c r="L47" s="8"/>
      <c r="O47" s="8"/>
      <c r="R47" s="8"/>
    </row>
    <row r="48" spans="1:18" ht="18.75" customHeight="1" x14ac:dyDescent="0.2">
      <c r="A48" s="8"/>
      <c r="B48" s="8"/>
      <c r="C48" s="8"/>
      <c r="D48" s="8"/>
      <c r="E48" s="8"/>
      <c r="F48" s="8"/>
      <c r="G48" s="8"/>
      <c r="H48" s="8"/>
      <c r="I48" s="8"/>
      <c r="J48" s="15">
        <v>6600000</v>
      </c>
      <c r="K48" s="16">
        <f>$A$30*0.9-1100000</f>
        <v>-1100000</v>
      </c>
      <c r="L48" s="8"/>
      <c r="O48" s="8"/>
      <c r="R48" s="8"/>
    </row>
    <row r="49" spans="1:18" ht="18.75" customHeight="1" thickBot="1" x14ac:dyDescent="0.25">
      <c r="A49" s="8"/>
      <c r="B49" s="8"/>
      <c r="C49" s="8"/>
      <c r="D49" s="8"/>
      <c r="E49" s="8"/>
      <c r="F49" s="8"/>
      <c r="G49" s="8"/>
      <c r="H49" s="8"/>
      <c r="I49" s="8"/>
      <c r="J49" s="19">
        <v>8499999</v>
      </c>
      <c r="K49" s="16">
        <f>$A$30*0.9-1100000</f>
        <v>-1100000</v>
      </c>
      <c r="L49" s="8"/>
      <c r="O49" s="8"/>
      <c r="R49" s="8"/>
    </row>
    <row r="50" spans="1:18" ht="18.75" customHeight="1" thickBot="1" x14ac:dyDescent="0.25">
      <c r="A50" s="8"/>
      <c r="B50" s="8"/>
      <c r="C50" s="8"/>
      <c r="D50" s="8"/>
      <c r="E50" s="8"/>
      <c r="F50" s="8"/>
      <c r="G50" s="8"/>
      <c r="H50" s="8"/>
      <c r="I50" s="8"/>
      <c r="J50" s="235">
        <v>8500000</v>
      </c>
      <c r="K50" s="234">
        <f>A30-1950000</f>
        <v>-1950000</v>
      </c>
      <c r="L50" s="8"/>
      <c r="O50" s="8"/>
      <c r="R50" s="8"/>
    </row>
    <row r="51" spans="1:18" ht="18.75" customHeight="1" x14ac:dyDescent="0.2">
      <c r="A51" s="8"/>
      <c r="B51" s="8"/>
      <c r="C51" s="8"/>
      <c r="D51" s="8"/>
      <c r="E51" s="8"/>
      <c r="F51" s="8"/>
      <c r="G51" s="8"/>
      <c r="H51" s="8"/>
      <c r="I51" s="8"/>
      <c r="J51" s="229" t="b">
        <f>IF(税率登録シート!$D$2&lt;=2016,14999999,IF(税率登録シート!$D$2=2017,11999999,IF(税率登録シート!$D$2=2018,"")))</f>
        <v>0</v>
      </c>
      <c r="K51" s="230" t="str">
        <f>IF(税率登録シート!$D$2&lt;=2017,A30*0.95-1700000,"")</f>
        <v/>
      </c>
      <c r="L51" s="8"/>
      <c r="O51" s="8"/>
      <c r="R51" s="8"/>
    </row>
    <row r="52" spans="1:18" ht="18.75" customHeight="1" thickBot="1" x14ac:dyDescent="0.25">
      <c r="A52" s="8"/>
      <c r="B52" s="8"/>
      <c r="C52" s="8"/>
      <c r="D52" s="8"/>
      <c r="E52" s="8"/>
      <c r="F52" s="8"/>
      <c r="G52" s="8"/>
      <c r="H52" s="8"/>
      <c r="I52" s="8"/>
      <c r="J52" s="231" t="b">
        <f>IF(税率登録シート!$D$2&lt;=2016,15000000,IF(税率登録シート!$D$2=2017,12000000,IF(税率登録シート!$D$2=2018,"")))</f>
        <v>0</v>
      </c>
      <c r="K52" s="232" t="b">
        <f>IF(税率登録シート!$D$2&lt;=2016,A30-2450000,IF(税率登録シート!$D$2=2017,A30-2300000,IF(税率登録シート!$D$2=2018,"")))</f>
        <v>0</v>
      </c>
      <c r="L52" s="8"/>
      <c r="O52" s="8"/>
      <c r="R52" s="8"/>
    </row>
    <row r="53" spans="1:18" ht="18.75" customHeight="1" x14ac:dyDescent="0.15"/>
    <row r="54" spans="1:18" ht="18.75" customHeight="1" thickBot="1" x14ac:dyDescent="0.25">
      <c r="A54" s="59" t="s">
        <v>7</v>
      </c>
      <c r="B54" s="1"/>
      <c r="M54" s="787" t="str">
        <f>$M$2</f>
        <v>昭和35年１月１日 以前</v>
      </c>
      <c r="N54" s="787"/>
      <c r="P54" s="787" t="str">
        <f>$P$2</f>
        <v>昭和35年１月２日 以降</v>
      </c>
      <c r="Q54" s="787"/>
    </row>
    <row r="55" spans="1:18" ht="18.75" customHeight="1" thickBot="1" x14ac:dyDescent="0.2">
      <c r="A55" s="11" t="s">
        <v>12</v>
      </c>
      <c r="B55" s="11" t="s">
        <v>4</v>
      </c>
      <c r="C55" s="23" t="s">
        <v>13</v>
      </c>
      <c r="D55" s="28" t="s">
        <v>14</v>
      </c>
      <c r="E55" s="31" t="s">
        <v>29</v>
      </c>
      <c r="F55" s="33" t="s">
        <v>2</v>
      </c>
      <c r="G55" s="121"/>
      <c r="H55" s="121"/>
      <c r="I55" s="2"/>
      <c r="J55" s="3" t="s">
        <v>12</v>
      </c>
      <c r="K55" s="4" t="s">
        <v>13</v>
      </c>
      <c r="M55" s="3" t="s">
        <v>4</v>
      </c>
      <c r="N55" s="4" t="s">
        <v>14</v>
      </c>
      <c r="P55" s="3" t="s">
        <v>4</v>
      </c>
      <c r="Q55" s="4" t="s">
        <v>14</v>
      </c>
    </row>
    <row r="56" spans="1:18" ht="18.75" customHeight="1" thickTop="1" thickBot="1" x14ac:dyDescent="0.25">
      <c r="A56" s="5">
        <f>入力試算シート!I24</f>
        <v>0</v>
      </c>
      <c r="B56" s="5">
        <f>入力試算シート!N24</f>
        <v>0</v>
      </c>
      <c r="C56" s="21">
        <f>IF(入力試算シート!AO24="無し",IF(VLOOKUP($A56,$J56:$K78,2,TRUE)-IF($D56&gt;=100000,100000,$D56)&lt;0,0,VLOOKUP($A56,$J56:$K78,2,TRUE)-IF($D56&gt;=100000,100000,$D56)),速算表!K76-IF($A56&lt;10000000,ROUNDUP(($A56-8500000)*0.1,0),150000)-IF($D56&gt;=100000,100000,$D56))</f>
        <v>0</v>
      </c>
      <c r="D56" s="30">
        <f>IF(入力試算シート!S24="以前",VLOOKUP($B$56,$M$56:$N$66,2,TRUE),VLOOKUP($B$56,$P$56:$Q$66,2,TRUE))</f>
        <v>0</v>
      </c>
      <c r="E56" s="32">
        <f>入力試算シート!U24</f>
        <v>0</v>
      </c>
      <c r="F56" s="42">
        <f>IF(SUM($C56:$E56)&lt;=0,0,SUM($C56:$E56))</f>
        <v>0</v>
      </c>
      <c r="G56" s="122"/>
      <c r="H56" s="122"/>
      <c r="I56" s="5"/>
      <c r="J56" s="6">
        <v>0</v>
      </c>
      <c r="K56" s="7">
        <v>0</v>
      </c>
      <c r="L56" s="8"/>
      <c r="M56" s="9">
        <v>0</v>
      </c>
      <c r="N56" s="10">
        <v>0</v>
      </c>
      <c r="O56" s="8"/>
      <c r="P56" s="9">
        <v>0</v>
      </c>
      <c r="Q56" s="10">
        <v>0</v>
      </c>
      <c r="R56" s="8"/>
    </row>
    <row r="57" spans="1:18" ht="18.75" customHeight="1" thickBot="1" x14ac:dyDescent="0.25">
      <c r="A57" s="5"/>
      <c r="B57" s="5" t="s">
        <v>205</v>
      </c>
      <c r="C57" s="320">
        <f>IF(入力試算シート!AO24="無し",IF(VLOOKUP($A56,$J56:$K78,2,TRUE)-IF($D57&gt;=100000,100000,$D57)&lt;0,0,VLOOKUP($A56,$J56:$K78,2,TRUE)-IF($D57&gt;=100000,100000,$D57)),速算表!K76-IF($A56&lt;10000000,ROUNDUP(($A56-8500000)*0.1,0),150000)-IF($D57&gt;=100000,100000,$D57))</f>
        <v>0</v>
      </c>
      <c r="D57" s="321">
        <f>IF($D56=0,0,IF(AND(入力試算シート!S74="以前",$B56&lt;=1250000),$B56-1100000-$N$58,IF(入力試算シート!S74="以降",$D56,$D56-150000)))</f>
        <v>0</v>
      </c>
      <c r="E57" s="322">
        <f>$E56</f>
        <v>0</v>
      </c>
      <c r="F57" s="323">
        <f>IF(SUM($C57:$E57)&lt;=0,0,SUM($C57:$E57))</f>
        <v>0</v>
      </c>
      <c r="G57" s="12"/>
      <c r="H57" s="12"/>
      <c r="I57" s="12"/>
      <c r="J57" s="13">
        <v>550999</v>
      </c>
      <c r="K57" s="14">
        <v>0</v>
      </c>
      <c r="L57" s="8"/>
      <c r="M57" s="15">
        <v>1100000</v>
      </c>
      <c r="N57" s="16">
        <v>0</v>
      </c>
      <c r="O57" s="8"/>
      <c r="P57" s="15">
        <v>600000</v>
      </c>
      <c r="Q57" s="16">
        <v>0</v>
      </c>
      <c r="R57" s="8"/>
    </row>
    <row r="58" spans="1:18" ht="18.75" customHeight="1" x14ac:dyDescent="0.2">
      <c r="A58" s="5"/>
      <c r="B58" s="5"/>
      <c r="C58" s="5"/>
      <c r="D58" s="8"/>
      <c r="E58" s="8"/>
      <c r="F58" s="8"/>
      <c r="G58" s="8"/>
      <c r="H58" s="8"/>
      <c r="I58" s="8"/>
      <c r="J58" s="13">
        <v>551000</v>
      </c>
      <c r="K58" s="14">
        <f>A56-550000</f>
        <v>-550000</v>
      </c>
      <c r="L58" s="8"/>
      <c r="M58" s="15">
        <v>1100001</v>
      </c>
      <c r="N58" s="16">
        <f>IF(E56&lt;=10000000,B56-1100000,IF(AND(E56&gt;10000000,E56&lt;=20000000),B56-1000000,B56-900000))</f>
        <v>-1100000</v>
      </c>
      <c r="O58" s="8"/>
      <c r="P58" s="15">
        <v>600001</v>
      </c>
      <c r="Q58" s="16">
        <f>IF(E56&lt;=10000000,B56-600000,IF(AND(E56&gt;10000000,E56&lt;=20000000),B56-500000,B56-400000))</f>
        <v>-600000</v>
      </c>
      <c r="R58" s="8"/>
    </row>
    <row r="59" spans="1:18" ht="18.75" customHeight="1" x14ac:dyDescent="0.2">
      <c r="A59" s="5"/>
      <c r="B59" s="5"/>
      <c r="C59" s="5"/>
      <c r="D59" s="8"/>
      <c r="E59" s="8"/>
      <c r="F59" s="8"/>
      <c r="G59" s="8"/>
      <c r="H59" s="8"/>
      <c r="I59" s="8"/>
      <c r="J59" s="15">
        <v>1618999</v>
      </c>
      <c r="K59" s="16">
        <f>A56-550000</f>
        <v>-550000</v>
      </c>
      <c r="L59" s="8"/>
      <c r="M59" s="15">
        <v>3300000</v>
      </c>
      <c r="N59" s="16">
        <f>IF(E56&lt;=10000000,B56-1100000,IF(AND(E56&gt;10000000,E56&lt;=20000000),B56-1000000,B56-900000))</f>
        <v>-1100000</v>
      </c>
      <c r="O59" s="8"/>
      <c r="P59" s="15">
        <v>1300000</v>
      </c>
      <c r="Q59" s="16">
        <f>IF(E56&lt;=10000000,B56-600000,IF(AND(E56&gt;10000000,E56&lt;=20000000),B56-500000,B56-400000))</f>
        <v>-600000</v>
      </c>
      <c r="R59" s="8"/>
    </row>
    <row r="60" spans="1:18" ht="18.75" customHeight="1" x14ac:dyDescent="0.2">
      <c r="A60" s="5"/>
      <c r="B60" s="5"/>
      <c r="C60" s="5"/>
      <c r="D60" s="8"/>
      <c r="E60" s="8"/>
      <c r="F60" s="8"/>
      <c r="G60" s="8"/>
      <c r="H60" s="8"/>
      <c r="I60" s="8"/>
      <c r="J60" s="15">
        <v>1619000</v>
      </c>
      <c r="K60" s="16">
        <v>1069000</v>
      </c>
      <c r="L60" s="8"/>
      <c r="M60" s="15">
        <v>3300001</v>
      </c>
      <c r="N60" s="16">
        <f>IF(E56&lt;=10000000,B56-(B56*0.25+275000),IF(AND(E56&gt;10000000,E56&lt;=20000000),B56-(B56*0.25+175000),B56-(B56*0.25+75000)))</f>
        <v>-275000</v>
      </c>
      <c r="O60" s="8"/>
      <c r="P60" s="15">
        <v>1300001</v>
      </c>
      <c r="Q60" s="16">
        <f>IF(E56&lt;=10000000,B56-(B56*0.25+275000),IF(AND(E56&gt;10000000,E56&lt;=20000000),B56-(B56*0.25+175000),B56-(B56*0.25+75000)))</f>
        <v>-275000</v>
      </c>
      <c r="R60" s="8"/>
    </row>
    <row r="61" spans="1:18" ht="18.75" customHeight="1" x14ac:dyDescent="0.2">
      <c r="A61" s="5"/>
      <c r="B61" s="5"/>
      <c r="C61" s="5"/>
      <c r="D61" s="8"/>
      <c r="E61" s="8"/>
      <c r="F61" s="8"/>
      <c r="G61" s="8"/>
      <c r="H61" s="8"/>
      <c r="I61" s="8"/>
      <c r="J61" s="15">
        <v>1619999</v>
      </c>
      <c r="K61" s="16">
        <v>1069000</v>
      </c>
      <c r="L61" s="8"/>
      <c r="M61" s="15">
        <v>4100000</v>
      </c>
      <c r="N61" s="16">
        <f>IF(E56&lt;=10000000,B56-(B56*0.25+275000),IF(AND(E56&gt;10000000,E56&lt;=20000000),B56-(B56*0.25+175000),B56-(B56*0.25+75000)))</f>
        <v>-275000</v>
      </c>
      <c r="O61" s="8"/>
      <c r="P61" s="15">
        <v>4100000</v>
      </c>
      <c r="Q61" s="16">
        <f>IF(E56&lt;=10000000,B56-(B56*0.25+275000),IF(AND(E56&gt;10000000,E56&lt;=20000000),B56-(B56*0.25+175000),B56-(B56*0.25+75000)))</f>
        <v>-275000</v>
      </c>
      <c r="R61" s="8"/>
    </row>
    <row r="62" spans="1:18" ht="18.75" customHeight="1" x14ac:dyDescent="0.2">
      <c r="A62" s="5"/>
      <c r="B62" s="5"/>
      <c r="C62" s="5"/>
      <c r="D62" s="8"/>
      <c r="E62" s="8"/>
      <c r="F62" s="8"/>
      <c r="G62" s="8"/>
      <c r="H62" s="8"/>
      <c r="I62" s="8"/>
      <c r="J62" s="15">
        <v>1620000</v>
      </c>
      <c r="K62" s="16">
        <v>1070000</v>
      </c>
      <c r="L62" s="8"/>
      <c r="M62" s="15">
        <v>4100001</v>
      </c>
      <c r="N62" s="16">
        <f>IF(E56&lt;=10000000,B56-(B56*0.15+685000),IF(AND(E56&gt;10000000,E56&lt;=20000000),B56-(B56*0.15+585000),B56-(B56*0.15+485000)))</f>
        <v>-685000</v>
      </c>
      <c r="O62" s="8"/>
      <c r="P62" s="15">
        <v>4100001</v>
      </c>
      <c r="Q62" s="16">
        <f>IF(E56&lt;=10000000,B56-(B56*0.15+685000),IF(AND(E56&gt;10000000,E56&lt;=20000000),B56-(B56*0.15+585000),B56-(B56*0.15+485000)))</f>
        <v>-685000</v>
      </c>
      <c r="R62" s="8"/>
    </row>
    <row r="63" spans="1:18" ht="18.75" customHeight="1" x14ac:dyDescent="0.2">
      <c r="A63" s="8"/>
      <c r="B63" s="8"/>
      <c r="C63" s="8"/>
      <c r="D63" s="8"/>
      <c r="E63" s="8"/>
      <c r="F63" s="8"/>
      <c r="G63" s="8"/>
      <c r="H63" s="8"/>
      <c r="I63" s="8"/>
      <c r="J63" s="15">
        <v>1621999</v>
      </c>
      <c r="K63" s="16">
        <v>1070000</v>
      </c>
      <c r="L63" s="8"/>
      <c r="M63" s="15">
        <v>7700000</v>
      </c>
      <c r="N63" s="16">
        <f>IF(E56&lt;=10000000,B56-(B56*0.15+685000),IF(AND(E56&gt;10000000,E56&lt;=20000000),B56-(B56*0.15+585000),B56-(B56*0.15+485000)))</f>
        <v>-685000</v>
      </c>
      <c r="O63" s="8"/>
      <c r="P63" s="15">
        <v>7700000</v>
      </c>
      <c r="Q63" s="16">
        <f>IF(E56&lt;=10000000,B56-(B56*0.15+685000),IF(AND(E56&gt;10000000,E56&lt;=20000000),B56-(B56*0.15+585000),B56-(B56*0.15+485000)))</f>
        <v>-685000</v>
      </c>
      <c r="R63" s="8"/>
    </row>
    <row r="64" spans="1:18" ht="18.75" customHeight="1" x14ac:dyDescent="0.2">
      <c r="A64" s="8"/>
      <c r="B64" s="8"/>
      <c r="C64" s="8"/>
      <c r="D64" s="8"/>
      <c r="E64" s="8"/>
      <c r="F64" s="8"/>
      <c r="G64" s="8"/>
      <c r="H64" s="8"/>
      <c r="I64" s="8"/>
      <c r="J64" s="15">
        <v>1622000</v>
      </c>
      <c r="K64" s="16">
        <v>1072000</v>
      </c>
      <c r="L64" s="8"/>
      <c r="M64" s="15">
        <v>7700001</v>
      </c>
      <c r="N64" s="16">
        <f>IF(E56&lt;=10000000,B56-(B56*0.05+1455000),IF(AND(E56&gt;10000000,E56&lt;=20000000),B56-(B56*0.05+1355000),B56-(B56*0.05+1255000)))</f>
        <v>-1455000</v>
      </c>
      <c r="O64" s="8"/>
      <c r="P64" s="15">
        <v>7700001</v>
      </c>
      <c r="Q64" s="20">
        <f>IF(E56&lt;=10000000,B56-(B56*0.05+1455000),IF(AND(E56&gt;10000000,E56&lt;=20000000),B56-(B56*0.05+1355000),B56-(B56*0.05+1255000)))</f>
        <v>-1455000</v>
      </c>
      <c r="R64" s="8"/>
    </row>
    <row r="65" spans="1:18" ht="18.75" customHeight="1" x14ac:dyDescent="0.2">
      <c r="A65" s="8"/>
      <c r="B65" s="8"/>
      <c r="C65" s="8"/>
      <c r="D65" s="8"/>
      <c r="E65" s="8"/>
      <c r="F65" s="8"/>
      <c r="G65" s="8"/>
      <c r="H65" s="8"/>
      <c r="I65" s="8"/>
      <c r="J65" s="15">
        <v>1623999</v>
      </c>
      <c r="K65" s="16">
        <v>1072000</v>
      </c>
      <c r="L65" s="8"/>
      <c r="M65" s="15">
        <v>10000000</v>
      </c>
      <c r="N65" s="16">
        <f>IF(E56&lt;=10000000,B56-(B56*0.05+1455000),IF(AND(E56&gt;10000000,E56&lt;=20000000),B56-(B56*0.05+1355000),B56-(B56*0.05+1255000)))</f>
        <v>-1455000</v>
      </c>
      <c r="O65" s="8"/>
      <c r="P65" s="15">
        <v>10000000</v>
      </c>
      <c r="Q65" s="293">
        <f>IF(E56&lt;=10000000,B56-(B56*0.05+1455000),IF(AND(E56&gt;10000000,E56&lt;=20000000),B56-(B56*0.05+1355000),B56-(B56*0.05+1255000)))</f>
        <v>-1455000</v>
      </c>
      <c r="R65" s="8"/>
    </row>
    <row r="66" spans="1:18" ht="18.75" customHeight="1" thickBot="1" x14ac:dyDescent="0.25">
      <c r="A66" s="8"/>
      <c r="B66" s="8"/>
      <c r="C66" s="8"/>
      <c r="D66" s="8"/>
      <c r="E66" s="8"/>
      <c r="F66" s="8"/>
      <c r="G66" s="8"/>
      <c r="H66" s="8"/>
      <c r="I66" s="8"/>
      <c r="J66" s="15">
        <v>1624000</v>
      </c>
      <c r="K66" s="16">
        <v>1074000</v>
      </c>
      <c r="L66" s="8"/>
      <c r="M66" s="17">
        <v>10000001</v>
      </c>
      <c r="N66" s="18">
        <f>IF(E56&lt;=10000000,B56-1955000,IF(AND(E56&gt;10000000,E56&lt;=20000000),B56-1855000,B56-1755000))</f>
        <v>-1955000</v>
      </c>
      <c r="O66" s="8"/>
      <c r="P66" s="17">
        <v>10000001</v>
      </c>
      <c r="Q66" s="294">
        <f>IF(E56&lt;=10000000,B56-1955000,IF(AND(E56&gt;10000000,E56&lt;=20000000),B56-1855000,B56-1755000))</f>
        <v>-1955000</v>
      </c>
      <c r="R66" s="8"/>
    </row>
    <row r="67" spans="1:18" ht="18.75" customHeight="1" x14ac:dyDescent="0.2">
      <c r="A67" s="8"/>
      <c r="B67" s="8"/>
      <c r="C67" s="8"/>
      <c r="D67" s="8"/>
      <c r="E67" s="8"/>
      <c r="F67" s="8"/>
      <c r="G67" s="8"/>
      <c r="H67" s="8"/>
      <c r="I67" s="8"/>
      <c r="J67" s="15">
        <v>1627999</v>
      </c>
      <c r="K67" s="16">
        <v>1074000</v>
      </c>
      <c r="L67" s="8"/>
      <c r="O67" s="8"/>
      <c r="R67" s="8"/>
    </row>
    <row r="68" spans="1:18" ht="18.75" customHeight="1" x14ac:dyDescent="0.2">
      <c r="A68" s="8"/>
      <c r="B68" s="8"/>
      <c r="C68" s="8"/>
      <c r="D68" s="8"/>
      <c r="E68" s="8"/>
      <c r="F68" s="8"/>
      <c r="G68" s="8"/>
      <c r="H68" s="8"/>
      <c r="I68" s="8"/>
      <c r="J68" s="15">
        <v>1628000</v>
      </c>
      <c r="K68" s="16">
        <f>ROUNDDOWN($A$56/4,-3)*2.4+100000</f>
        <v>100000</v>
      </c>
      <c r="L68" s="8"/>
      <c r="O68" s="8"/>
      <c r="R68" s="8"/>
    </row>
    <row r="69" spans="1:18" ht="18.75" customHeight="1" x14ac:dyDescent="0.2">
      <c r="A69" s="8"/>
      <c r="B69" s="8"/>
      <c r="C69" s="8"/>
      <c r="D69" s="8"/>
      <c r="E69" s="8"/>
      <c r="F69" s="8"/>
      <c r="G69" s="8"/>
      <c r="H69" s="8"/>
      <c r="I69" s="8"/>
      <c r="J69" s="15">
        <v>1799999</v>
      </c>
      <c r="K69" s="16">
        <f>ROUNDDOWN($A$56/4,-3)*2.4+100000</f>
        <v>100000</v>
      </c>
      <c r="L69" s="8"/>
      <c r="O69" s="8"/>
      <c r="R69" s="8"/>
    </row>
    <row r="70" spans="1:18" ht="18.75" customHeight="1" x14ac:dyDescent="0.2">
      <c r="A70" s="8"/>
      <c r="B70" s="8"/>
      <c r="C70" s="8"/>
      <c r="D70" s="8"/>
      <c r="E70" s="8"/>
      <c r="F70" s="8"/>
      <c r="G70" s="8"/>
      <c r="H70" s="8"/>
      <c r="I70" s="8"/>
      <c r="J70" s="15">
        <v>1800000</v>
      </c>
      <c r="K70" s="16">
        <f>ROUNDDOWN($A$56/4,-3)*2.8-80000</f>
        <v>-80000</v>
      </c>
      <c r="L70" s="8"/>
      <c r="O70" s="8"/>
      <c r="R70" s="8"/>
    </row>
    <row r="71" spans="1:18" ht="18.75" customHeight="1" x14ac:dyDescent="0.2">
      <c r="A71" s="8"/>
      <c r="B71" s="8"/>
      <c r="C71" s="8"/>
      <c r="D71" s="8"/>
      <c r="E71" s="8"/>
      <c r="F71" s="8"/>
      <c r="G71" s="8"/>
      <c r="H71" s="8"/>
      <c r="I71" s="8"/>
      <c r="J71" s="15">
        <v>3599999</v>
      </c>
      <c r="K71" s="16">
        <f>ROUNDDOWN($A$56/4,-3)*2.8-80000</f>
        <v>-80000</v>
      </c>
      <c r="L71" s="8"/>
      <c r="O71" s="8"/>
      <c r="R71" s="8"/>
    </row>
    <row r="72" spans="1:18" ht="18.75" customHeight="1" x14ac:dyDescent="0.2">
      <c r="A72" s="8"/>
      <c r="B72" s="8"/>
      <c r="C72" s="8"/>
      <c r="D72" s="8"/>
      <c r="E72" s="8"/>
      <c r="F72" s="8"/>
      <c r="G72" s="8"/>
      <c r="H72" s="8"/>
      <c r="I72" s="8"/>
      <c r="J72" s="15">
        <v>3600000</v>
      </c>
      <c r="K72" s="16">
        <f>ROUNDDOWN($A$56/4,-3)*3.2-440000</f>
        <v>-440000</v>
      </c>
      <c r="L72" s="8"/>
      <c r="O72" s="8"/>
      <c r="R72" s="8"/>
    </row>
    <row r="73" spans="1:18" ht="18.75" customHeight="1" x14ac:dyDescent="0.2">
      <c r="A73" s="8"/>
      <c r="B73" s="8"/>
      <c r="C73" s="8"/>
      <c r="D73" s="8"/>
      <c r="E73" s="8"/>
      <c r="F73" s="8"/>
      <c r="G73" s="8"/>
      <c r="H73" s="8"/>
      <c r="I73" s="8"/>
      <c r="J73" s="15">
        <v>6599999</v>
      </c>
      <c r="K73" s="16">
        <f>ROUNDDOWN($A$56/4,-3)*3.2-440000</f>
        <v>-440000</v>
      </c>
      <c r="L73" s="8"/>
      <c r="O73" s="8"/>
      <c r="R73" s="8"/>
    </row>
    <row r="74" spans="1:18" ht="18.75" customHeight="1" x14ac:dyDescent="0.2">
      <c r="A74" s="8"/>
      <c r="B74" s="8"/>
      <c r="C74" s="8"/>
      <c r="D74" s="8"/>
      <c r="E74" s="8"/>
      <c r="F74" s="8"/>
      <c r="G74" s="8"/>
      <c r="H74" s="8"/>
      <c r="I74" s="8"/>
      <c r="J74" s="15">
        <v>6600000</v>
      </c>
      <c r="K74" s="16">
        <f>$A$56*0.9-1100000</f>
        <v>-1100000</v>
      </c>
      <c r="L74" s="8"/>
      <c r="O74" s="8"/>
      <c r="R74" s="8"/>
    </row>
    <row r="75" spans="1:18" ht="18.75" customHeight="1" thickBot="1" x14ac:dyDescent="0.25">
      <c r="A75" s="8"/>
      <c r="B75" s="8"/>
      <c r="C75" s="8"/>
      <c r="D75" s="8"/>
      <c r="E75" s="8"/>
      <c r="F75" s="8"/>
      <c r="G75" s="8"/>
      <c r="H75" s="8"/>
      <c r="I75" s="8"/>
      <c r="J75" s="19">
        <v>8499999</v>
      </c>
      <c r="K75" s="16">
        <f>$A$56*0.9-1100000</f>
        <v>-1100000</v>
      </c>
      <c r="L75" s="8"/>
      <c r="O75" s="8"/>
      <c r="R75" s="8"/>
    </row>
    <row r="76" spans="1:18" ht="18.75" customHeight="1" thickBot="1" x14ac:dyDescent="0.25">
      <c r="A76" s="8"/>
      <c r="B76" s="8"/>
      <c r="C76" s="8"/>
      <c r="D76" s="8"/>
      <c r="E76" s="8"/>
      <c r="F76" s="8"/>
      <c r="G76" s="8"/>
      <c r="H76" s="8"/>
      <c r="I76" s="8"/>
      <c r="J76" s="235">
        <v>8500000</v>
      </c>
      <c r="K76" s="234">
        <f>A56-1950000</f>
        <v>-1950000</v>
      </c>
      <c r="L76" s="8"/>
      <c r="O76" s="8"/>
      <c r="R76" s="8"/>
    </row>
    <row r="77" spans="1:18" ht="18.75" customHeight="1" x14ac:dyDescent="0.2">
      <c r="A77" s="8"/>
      <c r="B77" s="8"/>
      <c r="C77" s="8"/>
      <c r="D77" s="8"/>
      <c r="E77" s="8"/>
      <c r="F77" s="8"/>
      <c r="G77" s="8"/>
      <c r="H77" s="8"/>
      <c r="I77" s="8"/>
      <c r="J77" s="229" t="b">
        <f>IF(税率登録シート!$D$2&lt;=2016,14999999,IF(税率登録シート!$D$2=2017,11999999,IF(税率登録シート!$D$2=2018,"")))</f>
        <v>0</v>
      </c>
      <c r="K77" s="230" t="str">
        <f>IF(税率登録シート!$D$2&lt;=2017,A56*0.95-1700000,"")</f>
        <v/>
      </c>
      <c r="L77" s="8"/>
      <c r="O77" s="8"/>
      <c r="R77" s="8"/>
    </row>
    <row r="78" spans="1:18" ht="18.75" customHeight="1" thickBot="1" x14ac:dyDescent="0.25">
      <c r="A78" s="8"/>
      <c r="B78" s="8"/>
      <c r="C78" s="8"/>
      <c r="D78" s="8"/>
      <c r="E78" s="8"/>
      <c r="F78" s="8"/>
      <c r="G78" s="8"/>
      <c r="H78" s="8"/>
      <c r="I78" s="8"/>
      <c r="J78" s="231" t="b">
        <f>IF(税率登録シート!$D$2&lt;=2016,15000000,IF(税率登録シート!$D$2=2017,12000000,IF(税率登録シート!$D$2=2018,"")))</f>
        <v>0</v>
      </c>
      <c r="K78" s="232" t="b">
        <f>IF(税率登録シート!$D$2&lt;=2016,A56-2450000,IF(税率登録シート!$D$2=2017,A56-2300000,IF(税率登録シート!$D$2=2018,"")))</f>
        <v>0</v>
      </c>
      <c r="L78" s="8"/>
      <c r="O78" s="8"/>
      <c r="R78" s="8"/>
    </row>
    <row r="79" spans="1:18" ht="18.75" customHeight="1" x14ac:dyDescent="0.15"/>
    <row r="80" spans="1:18" ht="18.75" customHeight="1" thickBot="1" x14ac:dyDescent="0.25">
      <c r="A80" s="59" t="s">
        <v>8</v>
      </c>
      <c r="B80" s="1"/>
      <c r="M80" s="787" t="str">
        <f>$M$2</f>
        <v>昭和35年１月１日 以前</v>
      </c>
      <c r="N80" s="787"/>
      <c r="P80" s="787" t="str">
        <f>$P$2</f>
        <v>昭和35年１月２日 以降</v>
      </c>
      <c r="Q80" s="787"/>
    </row>
    <row r="81" spans="1:18" ht="18.75" customHeight="1" thickBot="1" x14ac:dyDescent="0.2">
      <c r="A81" s="11" t="s">
        <v>12</v>
      </c>
      <c r="B81" s="11" t="s">
        <v>4</v>
      </c>
      <c r="C81" s="23" t="s">
        <v>13</v>
      </c>
      <c r="D81" s="28" t="s">
        <v>14</v>
      </c>
      <c r="E81" s="31" t="s">
        <v>29</v>
      </c>
      <c r="F81" s="33" t="s">
        <v>2</v>
      </c>
      <c r="G81" s="121"/>
      <c r="H81" s="121"/>
      <c r="I81" s="2"/>
      <c r="J81" s="3" t="s">
        <v>12</v>
      </c>
      <c r="K81" s="4" t="s">
        <v>13</v>
      </c>
      <c r="M81" s="3" t="s">
        <v>4</v>
      </c>
      <c r="N81" s="4" t="s">
        <v>14</v>
      </c>
      <c r="P81" s="3" t="s">
        <v>4</v>
      </c>
      <c r="Q81" s="4" t="s">
        <v>14</v>
      </c>
    </row>
    <row r="82" spans="1:18" ht="18.75" customHeight="1" thickTop="1" thickBot="1" x14ac:dyDescent="0.25">
      <c r="A82" s="5">
        <f>入力試算シート!I25</f>
        <v>0</v>
      </c>
      <c r="B82" s="5">
        <f>入力試算シート!N25</f>
        <v>0</v>
      </c>
      <c r="C82" s="29">
        <f>IF(入力試算シート!AO25="無し",IF(VLOOKUP($A82,$J82:$K104,2,TRUE)-IF($D82&gt;=100000,100000,$D82)&lt;0,0,VLOOKUP($A82,$J82:$K104,2,TRUE)-IF($D82&gt;=100000,100000,$D82)),速算表!K102-IF($A82&lt;10000000,ROUNDUP(($A82-8500000)*0.1,0),150000)-IF($D82&gt;=100000,100000,$D82))</f>
        <v>0</v>
      </c>
      <c r="D82" s="30">
        <f>IF(入力試算シート!S25="以前",VLOOKUP($B$82,$M$82:$N$92,2,TRUE),VLOOKUP(B$82,P$82:Q$92,2,TRUE))</f>
        <v>0</v>
      </c>
      <c r="E82" s="32">
        <f>入力試算シート!U25</f>
        <v>0</v>
      </c>
      <c r="F82" s="42">
        <f>IF(SUM($C82:$E82)&lt;=0,0,SUM($C82:$E82))</f>
        <v>0</v>
      </c>
      <c r="G82" s="122"/>
      <c r="H82" s="122"/>
      <c r="I82" s="5"/>
      <c r="J82" s="6">
        <v>0</v>
      </c>
      <c r="K82" s="7">
        <v>0</v>
      </c>
      <c r="L82" s="8"/>
      <c r="M82" s="9">
        <v>0</v>
      </c>
      <c r="N82" s="10">
        <v>0</v>
      </c>
      <c r="O82" s="8"/>
      <c r="P82" s="9">
        <v>0</v>
      </c>
      <c r="Q82" s="10">
        <v>0</v>
      </c>
      <c r="R82" s="8"/>
    </row>
    <row r="83" spans="1:18" ht="18.75" customHeight="1" thickBot="1" x14ac:dyDescent="0.25">
      <c r="A83" s="5"/>
      <c r="B83" s="5" t="s">
        <v>205</v>
      </c>
      <c r="C83" s="320">
        <f>IF(入力試算シート!AO25="無し",IF(VLOOKUP($A82,$J82:$K104,2,TRUE)-IF($D83&gt;=100000,100000,$D83)&lt;0,0,VLOOKUP($A82,$J82:$K104,2,TRUE)-IF($D83&gt;=100000,100000,$D83)),速算表!K102-IF($A82&lt;10000000,ROUNDUP(($A82-8500000)*0.1,0),150000)-IF($D83&gt;=100000,100000,$D83))</f>
        <v>0</v>
      </c>
      <c r="D83" s="321">
        <f>IF($D82=0,0,IF(AND(入力試算シート!S100="以前",$B82&lt;=1250000),$B82-1100000-$N$84,IF(入力試算シート!S100="以降",$D82,$D82-150000)))</f>
        <v>0</v>
      </c>
      <c r="E83" s="322">
        <f>$E82</f>
        <v>0</v>
      </c>
      <c r="F83" s="323">
        <f>IF(SUM($C83:$E83)&lt;=0,0,SUM($C83:$E83))</f>
        <v>0</v>
      </c>
      <c r="G83" s="12"/>
      <c r="H83" s="12"/>
      <c r="I83" s="12"/>
      <c r="J83" s="13">
        <v>550999</v>
      </c>
      <c r="K83" s="14">
        <v>0</v>
      </c>
      <c r="L83" s="8"/>
      <c r="M83" s="15">
        <v>1100000</v>
      </c>
      <c r="N83" s="16">
        <v>0</v>
      </c>
      <c r="O83" s="8"/>
      <c r="P83" s="15">
        <v>600000</v>
      </c>
      <c r="Q83" s="16">
        <v>0</v>
      </c>
      <c r="R83" s="8"/>
    </row>
    <row r="84" spans="1:18" ht="18.75" customHeight="1" x14ac:dyDescent="0.2">
      <c r="A84" s="5"/>
      <c r="B84" s="5"/>
      <c r="C84" s="5"/>
      <c r="D84" s="8"/>
      <c r="E84" s="8"/>
      <c r="F84" s="8"/>
      <c r="G84" s="8"/>
      <c r="H84" s="8"/>
      <c r="I84" s="8"/>
      <c r="J84" s="13">
        <v>551000</v>
      </c>
      <c r="K84" s="14">
        <f>A82-550000</f>
        <v>-550000</v>
      </c>
      <c r="L84" s="8"/>
      <c r="M84" s="15">
        <v>1100001</v>
      </c>
      <c r="N84" s="16">
        <f>IF(E82&lt;=10000000,B82-1100000,IF(AND(E82&gt;10000000,E82&lt;=20000000),B82-1000000,B82-900000))</f>
        <v>-1100000</v>
      </c>
      <c r="O84" s="8"/>
      <c r="P84" s="15">
        <v>600001</v>
      </c>
      <c r="Q84" s="16">
        <f>IF(E82&lt;=10000000,B82-600000,IF(AND(E82&gt;10000000,E82&lt;=20000000),B82-500000,B82-400000))</f>
        <v>-600000</v>
      </c>
      <c r="R84" s="8"/>
    </row>
    <row r="85" spans="1:18" ht="18.75" customHeight="1" x14ac:dyDescent="0.2">
      <c r="A85" s="5"/>
      <c r="B85" s="5"/>
      <c r="C85" s="5"/>
      <c r="D85" s="8"/>
      <c r="E85" s="8"/>
      <c r="F85" s="8"/>
      <c r="G85" s="8"/>
      <c r="H85" s="8"/>
      <c r="I85" s="8"/>
      <c r="J85" s="15">
        <v>1618999</v>
      </c>
      <c r="K85" s="16">
        <f>A82-550000</f>
        <v>-550000</v>
      </c>
      <c r="L85" s="8"/>
      <c r="M85" s="15">
        <v>3300000</v>
      </c>
      <c r="N85" s="16">
        <f>IF(E82&lt;=10000000,B82-1100000,IF(AND(E82&gt;10000000,E82&lt;=20000000),B82-1000000,B82-900000))</f>
        <v>-1100000</v>
      </c>
      <c r="O85" s="8"/>
      <c r="P85" s="15">
        <v>1300000</v>
      </c>
      <c r="Q85" s="16">
        <f>IF(E82&lt;=10000000,B82-600000,IF(AND(E82&gt;10000000,E82&lt;=20000000),B82-500000,B82-400000))</f>
        <v>-600000</v>
      </c>
      <c r="R85" s="8"/>
    </row>
    <row r="86" spans="1:18" ht="18.75" customHeight="1" x14ac:dyDescent="0.2">
      <c r="A86" s="5"/>
      <c r="B86" s="5"/>
      <c r="C86" s="5"/>
      <c r="D86" s="8"/>
      <c r="E86" s="8"/>
      <c r="F86" s="8"/>
      <c r="G86" s="8"/>
      <c r="H86" s="8"/>
      <c r="I86" s="8"/>
      <c r="J86" s="15">
        <v>1619000</v>
      </c>
      <c r="K86" s="16">
        <v>1069000</v>
      </c>
      <c r="L86" s="8"/>
      <c r="M86" s="15">
        <v>3300001</v>
      </c>
      <c r="N86" s="16">
        <f>IF(E82&lt;=10000000,B82-(B82*0.25+275000),IF(AND(E82&gt;10000000,E82&lt;=20000000),B82-(B82*0.25+175000),B82-(B82*0.25+75000)))</f>
        <v>-275000</v>
      </c>
      <c r="O86" s="8"/>
      <c r="P86" s="15">
        <v>1300001</v>
      </c>
      <c r="Q86" s="16">
        <f>IF(E82&lt;=10000000,B82-(B82*0.25+275000),IF(AND(E82&gt;10000000,E82&lt;=20000000),B82-(B82*0.25+175000),B82-(B82*0.25+75000)))</f>
        <v>-275000</v>
      </c>
      <c r="R86" s="8"/>
    </row>
    <row r="87" spans="1:18" ht="18.75" customHeight="1" x14ac:dyDescent="0.2">
      <c r="A87" s="5"/>
      <c r="B87" s="5"/>
      <c r="C87" s="5"/>
      <c r="D87" s="8"/>
      <c r="E87" s="8"/>
      <c r="F87" s="8"/>
      <c r="G87" s="8"/>
      <c r="H87" s="8"/>
      <c r="I87" s="8"/>
      <c r="J87" s="15">
        <v>1619999</v>
      </c>
      <c r="K87" s="16">
        <v>1069000</v>
      </c>
      <c r="L87" s="8"/>
      <c r="M87" s="15">
        <v>4100000</v>
      </c>
      <c r="N87" s="16">
        <f>IF(E82&lt;=10000000,B82-(B82*0.25+275000),IF(AND(E82&gt;10000000,E82&lt;=20000000),B82-(B82*0.25+175000),B82-(B82*0.25+75000)))</f>
        <v>-275000</v>
      </c>
      <c r="O87" s="8"/>
      <c r="P87" s="15">
        <v>4100000</v>
      </c>
      <c r="Q87" s="16">
        <f>IF(E82&lt;=10000000,B82-(B82*0.25+275000),IF(AND(E82&gt;10000000,E82&lt;=20000000),B82-(B82*0.25+175000),B82-(B82*0.25+75000)))</f>
        <v>-275000</v>
      </c>
      <c r="R87" s="8"/>
    </row>
    <row r="88" spans="1:18" ht="18.75" customHeight="1" x14ac:dyDescent="0.2">
      <c r="A88" s="5"/>
      <c r="B88" s="5"/>
      <c r="C88" s="5"/>
      <c r="D88" s="8"/>
      <c r="E88" s="8"/>
      <c r="F88" s="8"/>
      <c r="G88" s="8"/>
      <c r="H88" s="8"/>
      <c r="I88" s="8"/>
      <c r="J88" s="15">
        <v>1620000</v>
      </c>
      <c r="K88" s="16">
        <v>1070000</v>
      </c>
      <c r="L88" s="8"/>
      <c r="M88" s="15">
        <v>4100001</v>
      </c>
      <c r="N88" s="16">
        <f>IF(E82&lt;=10000000,B82-(B82*0.15+685000),IF(AND(E82&gt;10000000,E82&lt;=20000000),B82-(B82*0.15+585000),B82-(B82*0.15+485000)))</f>
        <v>-685000</v>
      </c>
      <c r="O88" s="8"/>
      <c r="P88" s="15">
        <v>4100001</v>
      </c>
      <c r="Q88" s="16">
        <f>IF(E82&lt;=10000000,B82-(B82*0.15+685000),IF(AND(E82&gt;10000000,E82&lt;=20000000),B82-(B82*0.15+585000),B82-(B82*0.15+485000)))</f>
        <v>-685000</v>
      </c>
      <c r="R88" s="8"/>
    </row>
    <row r="89" spans="1:18" ht="18.75" customHeight="1" x14ac:dyDescent="0.2">
      <c r="A89" s="8"/>
      <c r="B89" s="8"/>
      <c r="C89" s="8"/>
      <c r="D89" s="8"/>
      <c r="E89" s="8"/>
      <c r="F89" s="8"/>
      <c r="G89" s="8"/>
      <c r="H89" s="8"/>
      <c r="I89" s="8"/>
      <c r="J89" s="15">
        <v>1621999</v>
      </c>
      <c r="K89" s="16">
        <v>1070000</v>
      </c>
      <c r="L89" s="8"/>
      <c r="M89" s="15">
        <v>7700000</v>
      </c>
      <c r="N89" s="16">
        <f>IF(E82&lt;=10000000,B82-(B82*0.15+685000),IF(AND(E82&gt;10000000,E82&lt;=20000000),B82-(B82*0.15+585000),B82-(B82*0.15+485000)))</f>
        <v>-685000</v>
      </c>
      <c r="O89" s="8"/>
      <c r="P89" s="15">
        <v>7700000</v>
      </c>
      <c r="Q89" s="16">
        <f>IF(E82&lt;=10000000,B82-(B82*0.15+685000),IF(AND(E82&gt;10000000,E82&lt;=20000000),B82-(B82*0.15+585000),B82-(B82*0.15+485000)))</f>
        <v>-685000</v>
      </c>
      <c r="R89" s="8"/>
    </row>
    <row r="90" spans="1:18" ht="18.75" customHeight="1" x14ac:dyDescent="0.2">
      <c r="A90" s="8"/>
      <c r="B90" s="8"/>
      <c r="C90" s="8"/>
      <c r="D90" s="8"/>
      <c r="E90" s="8"/>
      <c r="F90" s="8"/>
      <c r="G90" s="8"/>
      <c r="H90" s="8"/>
      <c r="I90" s="8"/>
      <c r="J90" s="15">
        <v>1622000</v>
      </c>
      <c r="K90" s="16">
        <v>1072000</v>
      </c>
      <c r="L90" s="8"/>
      <c r="M90" s="15">
        <v>7700001</v>
      </c>
      <c r="N90" s="16">
        <f>IF(E82&lt;=10000000,B82-(B82*0.05+1455000),IF(AND(E82&gt;10000000,E82&lt;=20000000),B82-(B82*0.05+1355000),B82-(B82*0.05+1255000)))</f>
        <v>-1455000</v>
      </c>
      <c r="O90" s="8"/>
      <c r="P90" s="15">
        <v>7700001</v>
      </c>
      <c r="Q90" s="20">
        <f>IF(E82&lt;=10000000,B82-(B82*0.05+1455000),IF(AND(E82&gt;10000000,E82&lt;=20000000),B82-(B82*0.05+1355000),B82-(B82*0.05+1255000)))</f>
        <v>-1455000</v>
      </c>
      <c r="R90" s="8"/>
    </row>
    <row r="91" spans="1:18" ht="18.75" customHeight="1" x14ac:dyDescent="0.2">
      <c r="A91" s="8"/>
      <c r="B91" s="8"/>
      <c r="C91" s="8"/>
      <c r="D91" s="8"/>
      <c r="E91" s="8"/>
      <c r="F91" s="8"/>
      <c r="G91" s="8"/>
      <c r="H91" s="8"/>
      <c r="I91" s="8"/>
      <c r="J91" s="15">
        <v>1623999</v>
      </c>
      <c r="K91" s="16">
        <v>1072000</v>
      </c>
      <c r="L91" s="8"/>
      <c r="M91" s="15">
        <v>10000000</v>
      </c>
      <c r="N91" s="16">
        <f>IF(E82&lt;=10000000,B82-(B82*0.05+1455000),IF(AND(E82&gt;10000000,E82&lt;=20000000),B82-(B82*0.05+1355000),B82-(B82*0.05+1255000)))</f>
        <v>-1455000</v>
      </c>
      <c r="O91" s="8"/>
      <c r="P91" s="15">
        <v>10000000</v>
      </c>
      <c r="Q91" s="293">
        <f>IF(E82&lt;=10000000,B82-(B82*0.05+1455000),IF(AND(E82&gt;10000000,E82&lt;=20000000),B82-(B82*0.05+1355000),B82-(B82*0.05+1255000)))</f>
        <v>-1455000</v>
      </c>
      <c r="R91" s="8"/>
    </row>
    <row r="92" spans="1:18" ht="18.75" customHeight="1" thickBot="1" x14ac:dyDescent="0.25">
      <c r="A92" s="8"/>
      <c r="B92" s="8"/>
      <c r="C92" s="8"/>
      <c r="D92" s="8"/>
      <c r="E92" s="8"/>
      <c r="F92" s="8"/>
      <c r="G92" s="8"/>
      <c r="H92" s="8"/>
      <c r="I92" s="8"/>
      <c r="J92" s="15">
        <v>1624000</v>
      </c>
      <c r="K92" s="16">
        <v>1074000</v>
      </c>
      <c r="L92" s="8"/>
      <c r="M92" s="17">
        <v>10000001</v>
      </c>
      <c r="N92" s="18">
        <f>IF(E82&lt;=10000000,B82-1955000,IF(AND(E82&gt;10000000,E82&lt;=20000000),B82-1855000,B82-1755000))</f>
        <v>-1955000</v>
      </c>
      <c r="O92" s="8"/>
      <c r="P92" s="17">
        <v>10000001</v>
      </c>
      <c r="Q92" s="294">
        <f>IF(E82&lt;=10000000,B82-1955000,IF(AND(E82&gt;10000000,E82&lt;=20000000),B82-1855000,B82-1755000))</f>
        <v>-1955000</v>
      </c>
      <c r="R92" s="8"/>
    </row>
    <row r="93" spans="1:18" ht="18.75" customHeight="1" x14ac:dyDescent="0.2">
      <c r="A93" s="8"/>
      <c r="B93" s="8"/>
      <c r="C93" s="8"/>
      <c r="D93" s="8"/>
      <c r="E93" s="8"/>
      <c r="F93" s="8"/>
      <c r="G93" s="8"/>
      <c r="H93" s="8"/>
      <c r="I93" s="8"/>
      <c r="J93" s="15">
        <v>1627999</v>
      </c>
      <c r="K93" s="16">
        <v>1074000</v>
      </c>
      <c r="L93" s="8"/>
      <c r="O93" s="8"/>
      <c r="R93" s="8"/>
    </row>
    <row r="94" spans="1:18" ht="18.75" customHeight="1" x14ac:dyDescent="0.2">
      <c r="A94" s="8"/>
      <c r="B94" s="8"/>
      <c r="C94" s="8"/>
      <c r="D94" s="8"/>
      <c r="E94" s="8"/>
      <c r="F94" s="8"/>
      <c r="G94" s="8"/>
      <c r="H94" s="8"/>
      <c r="I94" s="8"/>
      <c r="J94" s="15">
        <v>1628000</v>
      </c>
      <c r="K94" s="16">
        <f>ROUNDDOWN($A$82/4,-3)*2.4+100000</f>
        <v>100000</v>
      </c>
      <c r="L94" s="8"/>
      <c r="O94" s="8"/>
      <c r="R94" s="8"/>
    </row>
    <row r="95" spans="1:18" ht="18.75" customHeight="1" x14ac:dyDescent="0.2">
      <c r="A95" s="8"/>
      <c r="B95" s="8"/>
      <c r="C95" s="8"/>
      <c r="D95" s="8"/>
      <c r="E95" s="8"/>
      <c r="F95" s="8"/>
      <c r="G95" s="8"/>
      <c r="H95" s="8"/>
      <c r="I95" s="8"/>
      <c r="J95" s="15">
        <v>1799999</v>
      </c>
      <c r="K95" s="16">
        <f>ROUNDDOWN($A$82/4,-3)*2.4+100000</f>
        <v>100000</v>
      </c>
      <c r="L95" s="8"/>
      <c r="O95" s="8"/>
      <c r="R95" s="8"/>
    </row>
    <row r="96" spans="1:18" ht="18.75" customHeight="1" x14ac:dyDescent="0.2">
      <c r="A96" s="8"/>
      <c r="B96" s="8"/>
      <c r="C96" s="8"/>
      <c r="D96" s="8"/>
      <c r="E96" s="8"/>
      <c r="F96" s="8"/>
      <c r="G96" s="8"/>
      <c r="H96" s="8"/>
      <c r="I96" s="8"/>
      <c r="J96" s="15">
        <v>1800000</v>
      </c>
      <c r="K96" s="16">
        <f>ROUNDDOWN($A$82/4,-3)*2.8-80000</f>
        <v>-80000</v>
      </c>
      <c r="L96" s="8"/>
      <c r="O96" s="8"/>
      <c r="R96" s="8"/>
    </row>
    <row r="97" spans="1:18" ht="18.75" customHeight="1" x14ac:dyDescent="0.2">
      <c r="A97" s="8"/>
      <c r="B97" s="8"/>
      <c r="C97" s="8"/>
      <c r="D97" s="8"/>
      <c r="E97" s="8"/>
      <c r="F97" s="8"/>
      <c r="G97" s="8"/>
      <c r="H97" s="8"/>
      <c r="I97" s="8"/>
      <c r="J97" s="15">
        <v>3599999</v>
      </c>
      <c r="K97" s="16">
        <f>ROUNDDOWN($A$82/4,-3)*2.8-80000</f>
        <v>-80000</v>
      </c>
      <c r="L97" s="8"/>
      <c r="O97" s="8"/>
      <c r="R97" s="8"/>
    </row>
    <row r="98" spans="1:18" ht="18.75" customHeight="1" x14ac:dyDescent="0.2">
      <c r="A98" s="8"/>
      <c r="B98" s="8"/>
      <c r="C98" s="8"/>
      <c r="D98" s="8"/>
      <c r="E98" s="8"/>
      <c r="F98" s="8"/>
      <c r="G98" s="8"/>
      <c r="H98" s="8"/>
      <c r="I98" s="8"/>
      <c r="J98" s="15">
        <v>3600000</v>
      </c>
      <c r="K98" s="16">
        <f>ROUNDDOWN($A$82/4,-3)*3.2-440000</f>
        <v>-440000</v>
      </c>
      <c r="L98" s="8"/>
      <c r="O98" s="8"/>
      <c r="R98" s="8"/>
    </row>
    <row r="99" spans="1:18" ht="18.75" customHeight="1" x14ac:dyDescent="0.2">
      <c r="A99" s="8"/>
      <c r="B99" s="8"/>
      <c r="C99" s="8"/>
      <c r="D99" s="8"/>
      <c r="E99" s="8"/>
      <c r="F99" s="8"/>
      <c r="G99" s="8"/>
      <c r="H99" s="8"/>
      <c r="I99" s="8"/>
      <c r="J99" s="15">
        <v>6599999</v>
      </c>
      <c r="K99" s="16">
        <f>ROUNDDOWN($A$82/4,-3)*3.2-440000</f>
        <v>-440000</v>
      </c>
      <c r="L99" s="8"/>
      <c r="O99" s="8"/>
      <c r="R99" s="8"/>
    </row>
    <row r="100" spans="1:18" ht="18.75" customHeight="1" x14ac:dyDescent="0.2">
      <c r="A100" s="8"/>
      <c r="B100" s="8"/>
      <c r="C100" s="8"/>
      <c r="D100" s="8"/>
      <c r="E100" s="8"/>
      <c r="F100" s="8"/>
      <c r="G100" s="8"/>
      <c r="H100" s="8"/>
      <c r="I100" s="8"/>
      <c r="J100" s="15">
        <v>6600000</v>
      </c>
      <c r="K100" s="16">
        <f>$A$82*0.9-1100000</f>
        <v>-1100000</v>
      </c>
      <c r="L100" s="8"/>
      <c r="O100" s="8"/>
      <c r="R100" s="8"/>
    </row>
    <row r="101" spans="1:18" ht="18.75" customHeight="1" thickBot="1" x14ac:dyDescent="0.25">
      <c r="A101" s="8"/>
      <c r="B101" s="8"/>
      <c r="C101" s="8"/>
      <c r="D101" s="8"/>
      <c r="E101" s="8"/>
      <c r="F101" s="8"/>
      <c r="G101" s="8"/>
      <c r="H101" s="8"/>
      <c r="I101" s="8"/>
      <c r="J101" s="19">
        <v>8499999</v>
      </c>
      <c r="K101" s="16">
        <f>$A$82*0.9-1100000</f>
        <v>-1100000</v>
      </c>
      <c r="L101" s="8"/>
      <c r="O101" s="8"/>
      <c r="R101" s="8"/>
    </row>
    <row r="102" spans="1:18" ht="18.75" customHeight="1" thickBot="1" x14ac:dyDescent="0.25">
      <c r="A102" s="8"/>
      <c r="B102" s="8"/>
      <c r="C102" s="8"/>
      <c r="D102" s="8"/>
      <c r="E102" s="8"/>
      <c r="F102" s="8"/>
      <c r="G102" s="8"/>
      <c r="H102" s="8"/>
      <c r="I102" s="8"/>
      <c r="J102" s="235">
        <v>8500000</v>
      </c>
      <c r="K102" s="234">
        <f>A82-1950000</f>
        <v>-1950000</v>
      </c>
      <c r="L102" s="8"/>
      <c r="O102" s="8"/>
      <c r="R102" s="8"/>
    </row>
    <row r="103" spans="1:18" ht="18.75" customHeight="1" x14ac:dyDescent="0.2">
      <c r="A103" s="8"/>
      <c r="B103" s="8"/>
      <c r="C103" s="8"/>
      <c r="D103" s="8"/>
      <c r="E103" s="8"/>
      <c r="F103" s="8"/>
      <c r="G103" s="8"/>
      <c r="H103" s="8"/>
      <c r="I103" s="8"/>
      <c r="J103" s="229" t="b">
        <f>IF(税率登録シート!$D$2&lt;=2016,14999999,IF(税率登録シート!$D$2=2017,11999999,IF(税率登録シート!$D$2=2018,"")))</f>
        <v>0</v>
      </c>
      <c r="K103" s="230" t="str">
        <f>IF(税率登録シート!$D$2&lt;=2017,A82*0.95-1700000,"")</f>
        <v/>
      </c>
      <c r="L103" s="8"/>
      <c r="O103" s="8"/>
      <c r="R103" s="8"/>
    </row>
    <row r="104" spans="1:18" ht="18.75" customHeight="1" thickBot="1" x14ac:dyDescent="0.25">
      <c r="A104" s="8"/>
      <c r="B104" s="8"/>
      <c r="C104" s="8"/>
      <c r="D104" s="8"/>
      <c r="E104" s="8"/>
      <c r="F104" s="8"/>
      <c r="G104" s="8"/>
      <c r="H104" s="8"/>
      <c r="I104" s="8"/>
      <c r="J104" s="231" t="b">
        <f>IF(税率登録シート!$D$2&lt;=2016,15000000,IF(税率登録シート!$D$2=2017,12000000,IF(税率登録シート!$D$2=2018,"")))</f>
        <v>0</v>
      </c>
      <c r="K104" s="232" t="b">
        <f>IF(税率登録シート!$D$2&lt;=2016,A82-2450000,IF(税率登録シート!$D$2=2017,A82-2300000,IF(税率登録シート!$D$2=2018,"")))</f>
        <v>0</v>
      </c>
      <c r="L104" s="8"/>
      <c r="O104" s="8"/>
      <c r="R104" s="8"/>
    </row>
    <row r="105" spans="1:18" ht="18.75" customHeight="1" x14ac:dyDescent="0.15"/>
    <row r="106" spans="1:18" ht="18.75" customHeight="1" thickBot="1" x14ac:dyDescent="0.25">
      <c r="A106" s="59" t="s">
        <v>9</v>
      </c>
      <c r="B106" s="1"/>
      <c r="M106" s="787" t="str">
        <f>$M$2</f>
        <v>昭和35年１月１日 以前</v>
      </c>
      <c r="N106" s="787"/>
      <c r="P106" s="787" t="str">
        <f>$P$2</f>
        <v>昭和35年１月２日 以降</v>
      </c>
      <c r="Q106" s="787"/>
    </row>
    <row r="107" spans="1:18" ht="18.75" customHeight="1" thickBot="1" x14ac:dyDescent="0.2">
      <c r="A107" s="11" t="s">
        <v>12</v>
      </c>
      <c r="B107" s="11" t="s">
        <v>4</v>
      </c>
      <c r="C107" s="23" t="s">
        <v>13</v>
      </c>
      <c r="D107" s="28" t="s">
        <v>14</v>
      </c>
      <c r="E107" s="31" t="s">
        <v>29</v>
      </c>
      <c r="F107" s="33" t="s">
        <v>2</v>
      </c>
      <c r="G107" s="121"/>
      <c r="H107" s="121"/>
      <c r="I107" s="2"/>
      <c r="J107" s="3" t="s">
        <v>12</v>
      </c>
      <c r="K107" s="4" t="s">
        <v>13</v>
      </c>
      <c r="M107" s="3" t="s">
        <v>4</v>
      </c>
      <c r="N107" s="4" t="s">
        <v>14</v>
      </c>
      <c r="P107" s="3" t="s">
        <v>4</v>
      </c>
      <c r="Q107" s="4" t="s">
        <v>14</v>
      </c>
    </row>
    <row r="108" spans="1:18" ht="18.75" customHeight="1" thickTop="1" thickBot="1" x14ac:dyDescent="0.25">
      <c r="A108" s="5">
        <f>入力試算シート!I26</f>
        <v>0</v>
      </c>
      <c r="B108" s="5">
        <f>入力試算シート!N26</f>
        <v>0</v>
      </c>
      <c r="C108" s="29">
        <f>IF(入力試算シート!AO26="無し",IF(VLOOKUP($A108,$J108:$K130,2,TRUE)-IF($D108&gt;=100000,100000,$D108)&lt;0,0,VLOOKUP($A108,$J108:$K130,2,TRUE)-IF($D108&gt;=100000,100000,$D108)),速算表!K128-IF($A108&lt;10000000,ROUNDUP(($A108-8500000)*0.1,0),150000)-IF($D108&gt;=100000,100000,$D108))</f>
        <v>0</v>
      </c>
      <c r="D108" s="30">
        <f>IF(入力試算シート!S26="以前",VLOOKUP($B$108,$M$108:$N$118,2,TRUE),VLOOKUP($B$108,$P$108:$Q$118,2,TRUE))</f>
        <v>0</v>
      </c>
      <c r="E108" s="32">
        <f>入力試算シート!U26</f>
        <v>0</v>
      </c>
      <c r="F108" s="42">
        <f>IF(SUM($C108:$E108)&lt;=0,0,SUM($C108:$E108))</f>
        <v>0</v>
      </c>
      <c r="G108" s="122"/>
      <c r="H108" s="122"/>
      <c r="I108" s="5"/>
      <c r="J108" s="6">
        <v>0</v>
      </c>
      <c r="K108" s="7">
        <v>0</v>
      </c>
      <c r="L108" s="8"/>
      <c r="M108" s="9">
        <v>0</v>
      </c>
      <c r="N108" s="10">
        <v>0</v>
      </c>
      <c r="O108" s="8"/>
      <c r="P108" s="9">
        <v>0</v>
      </c>
      <c r="Q108" s="10">
        <v>0</v>
      </c>
      <c r="R108" s="8"/>
    </row>
    <row r="109" spans="1:18" ht="18.75" customHeight="1" thickBot="1" x14ac:dyDescent="0.25">
      <c r="A109" s="5"/>
      <c r="B109" s="5" t="s">
        <v>205</v>
      </c>
      <c r="C109" s="320">
        <f>IF(入力試算シート!AO26="無し",IF(VLOOKUP($A108,$J108:$K130,2,TRUE)-IF($D109&gt;=100000,100000,$D109)&lt;0,0,VLOOKUP($A108,$J108:$K130,2,TRUE)-IF($D109&gt;=100000,100000,$D109)),速算表!K128-IF($A108&lt;10000000,ROUNDUP(($A108-8500000)*0.1,0),150000)-IF($D109&gt;=100000,100000,$D109))</f>
        <v>0</v>
      </c>
      <c r="D109" s="321">
        <f>IF($D108=0,0,IF(AND(入力試算シート!S126="以前",$B108&lt;=1250000),$B108-1100000-$N$110,IF(入力試算シート!S126="以降",$D108,$D108-150000)))</f>
        <v>0</v>
      </c>
      <c r="E109" s="322">
        <f>$E108</f>
        <v>0</v>
      </c>
      <c r="F109" s="323">
        <f>IF(SUM($C109:$E109)&lt;=0,0,SUM($C109:$E109))</f>
        <v>0</v>
      </c>
      <c r="G109" s="12"/>
      <c r="H109" s="12"/>
      <c r="I109" s="12"/>
      <c r="J109" s="13">
        <v>550999</v>
      </c>
      <c r="K109" s="14">
        <v>0</v>
      </c>
      <c r="L109" s="8"/>
      <c r="M109" s="15">
        <v>1100000</v>
      </c>
      <c r="N109" s="16">
        <v>0</v>
      </c>
      <c r="O109" s="8"/>
      <c r="P109" s="15">
        <v>600000</v>
      </c>
      <c r="Q109" s="16">
        <v>0</v>
      </c>
      <c r="R109" s="8"/>
    </row>
    <row r="110" spans="1:18" ht="18.75" customHeight="1" x14ac:dyDescent="0.2">
      <c r="A110" s="5"/>
      <c r="B110" s="5"/>
      <c r="C110" s="5"/>
      <c r="D110" s="8"/>
      <c r="E110" s="8"/>
      <c r="F110" s="8"/>
      <c r="G110" s="8"/>
      <c r="H110" s="8"/>
      <c r="I110" s="8"/>
      <c r="J110" s="13">
        <v>551000</v>
      </c>
      <c r="K110" s="14">
        <f>A108-550000</f>
        <v>-550000</v>
      </c>
      <c r="L110" s="8"/>
      <c r="M110" s="15">
        <v>1100001</v>
      </c>
      <c r="N110" s="16">
        <f>IF(E108&lt;=10000000,B108-1100000,IF(AND(E108&gt;10000000,E108&lt;=20000000),B108-1000000,B108-900000))</f>
        <v>-1100000</v>
      </c>
      <c r="O110" s="8"/>
      <c r="P110" s="15">
        <v>600001</v>
      </c>
      <c r="Q110" s="16">
        <f>IF(E108&lt;=10000000,B108-600000,IF(AND(E108&gt;10000000,E108&lt;=20000000),B108-500000,B108-400000))</f>
        <v>-600000</v>
      </c>
      <c r="R110" s="8"/>
    </row>
    <row r="111" spans="1:18" ht="18.75" customHeight="1" x14ac:dyDescent="0.2">
      <c r="A111" s="5"/>
      <c r="B111" s="5"/>
      <c r="C111" s="5"/>
      <c r="D111" s="8"/>
      <c r="E111" s="8"/>
      <c r="F111" s="8"/>
      <c r="G111" s="8"/>
      <c r="H111" s="8"/>
      <c r="I111" s="8"/>
      <c r="J111" s="15">
        <v>1618999</v>
      </c>
      <c r="K111" s="16">
        <f>A108-550000</f>
        <v>-550000</v>
      </c>
      <c r="L111" s="8"/>
      <c r="M111" s="15">
        <v>3300000</v>
      </c>
      <c r="N111" s="16">
        <f>IF(E108&lt;=10000000,B108-1100000,IF(AND(E108&gt;10000000,E108&lt;=20000000),B108-1000000,B108-900000))</f>
        <v>-1100000</v>
      </c>
      <c r="O111" s="8"/>
      <c r="P111" s="15">
        <v>1300000</v>
      </c>
      <c r="Q111" s="16">
        <f>IF(E108&lt;=10000000,B108-600000,IF(AND(E108&gt;10000000,E108&lt;=20000000),B108-500000,B108-400000))</f>
        <v>-600000</v>
      </c>
      <c r="R111" s="8"/>
    </row>
    <row r="112" spans="1:18" ht="18.75" customHeight="1" x14ac:dyDescent="0.2">
      <c r="A112" s="5"/>
      <c r="B112" s="5"/>
      <c r="C112" s="5"/>
      <c r="D112" s="8"/>
      <c r="E112" s="8"/>
      <c r="F112" s="8"/>
      <c r="G112" s="8"/>
      <c r="H112" s="8"/>
      <c r="I112" s="8"/>
      <c r="J112" s="15">
        <v>1619000</v>
      </c>
      <c r="K112" s="16">
        <v>1069000</v>
      </c>
      <c r="L112" s="8"/>
      <c r="M112" s="15">
        <v>3300001</v>
      </c>
      <c r="N112" s="16">
        <f>IF(E108&lt;=10000000,B108-(B108*0.25+275000),IF(AND(E108&gt;10000000,E108&lt;=20000000),B108-(B108*0.25+175000),B108-(B108*0.25+75000)))</f>
        <v>-275000</v>
      </c>
      <c r="O112" s="8"/>
      <c r="P112" s="15">
        <v>1300001</v>
      </c>
      <c r="Q112" s="16">
        <f>IF(E108&lt;=10000000,B108-(B108*0.25+275000),IF(AND(E108&gt;10000000,E108&lt;=20000000),B108-(B108*0.25+175000),B108-(B108*0.25+75000)))</f>
        <v>-275000</v>
      </c>
      <c r="R112" s="8"/>
    </row>
    <row r="113" spans="1:18" ht="18.75" customHeight="1" x14ac:dyDescent="0.2">
      <c r="A113" s="5"/>
      <c r="B113" s="5"/>
      <c r="C113" s="5"/>
      <c r="D113" s="8"/>
      <c r="E113" s="8"/>
      <c r="F113" s="8"/>
      <c r="G113" s="8"/>
      <c r="H113" s="8"/>
      <c r="I113" s="8"/>
      <c r="J113" s="15">
        <v>1619999</v>
      </c>
      <c r="K113" s="16">
        <v>1069000</v>
      </c>
      <c r="L113" s="8"/>
      <c r="M113" s="15">
        <v>4100000</v>
      </c>
      <c r="N113" s="16">
        <f>IF(E108&lt;=10000000,B108-(B108*0.25+275000),IF(AND(E108&gt;10000000,E108&lt;=20000000),B108-(B108*0.25+175000),B108-(B108*0.25+75000)))</f>
        <v>-275000</v>
      </c>
      <c r="O113" s="8"/>
      <c r="P113" s="15">
        <v>4100000</v>
      </c>
      <c r="Q113" s="16">
        <f>IF(E108&lt;=10000000,B108-(B108*0.25+275000),IF(AND(E108&gt;10000000,E108&lt;=20000000),B108-(B108*0.25+175000),B108-(B108*0.25+75000)))</f>
        <v>-275000</v>
      </c>
      <c r="R113" s="8"/>
    </row>
    <row r="114" spans="1:18" ht="18.75" customHeight="1" x14ac:dyDescent="0.2">
      <c r="A114" s="5"/>
      <c r="B114" s="5"/>
      <c r="C114" s="5"/>
      <c r="D114" s="8"/>
      <c r="E114" s="8"/>
      <c r="F114" s="8"/>
      <c r="G114" s="8"/>
      <c r="H114" s="8"/>
      <c r="I114" s="8"/>
      <c r="J114" s="15">
        <v>1620000</v>
      </c>
      <c r="K114" s="16">
        <v>1070000</v>
      </c>
      <c r="L114" s="8"/>
      <c r="M114" s="15">
        <v>4100001</v>
      </c>
      <c r="N114" s="16">
        <f>IF(E108&lt;=10000000,B108-(B108*0.15+685000),IF(AND(E108&gt;10000000,E108&lt;=20000000),B108-(B108*0.15+585000),B108-(B108*0.15+485000)))</f>
        <v>-685000</v>
      </c>
      <c r="O114" s="8"/>
      <c r="P114" s="15">
        <v>4100001</v>
      </c>
      <c r="Q114" s="16">
        <f>IF(E108&lt;=10000000,B108-(B108*0.15+685000),IF(AND(E108&gt;10000000,E108&lt;=20000000),B108-(B108*0.15+585000),B108-(B108*0.15+485000)))</f>
        <v>-685000</v>
      </c>
      <c r="R114" s="8"/>
    </row>
    <row r="115" spans="1:18" ht="18.75" customHeight="1" x14ac:dyDescent="0.2">
      <c r="A115" s="8"/>
      <c r="B115" s="8"/>
      <c r="C115" s="8"/>
      <c r="D115" s="8"/>
      <c r="E115" s="8"/>
      <c r="F115" s="8"/>
      <c r="G115" s="8"/>
      <c r="H115" s="8"/>
      <c r="I115" s="8"/>
      <c r="J115" s="15">
        <v>1621999</v>
      </c>
      <c r="K115" s="16">
        <v>1070000</v>
      </c>
      <c r="L115" s="8"/>
      <c r="M115" s="15">
        <v>7700000</v>
      </c>
      <c r="N115" s="16">
        <f>IF(E108&lt;=10000000,B108-(B108*0.15+685000),IF(AND(E108&gt;10000000,E108&lt;=20000000),B108-(B108*0.15+585000),B108-(B108*0.15+485000)))</f>
        <v>-685000</v>
      </c>
      <c r="O115" s="8"/>
      <c r="P115" s="15">
        <v>7700000</v>
      </c>
      <c r="Q115" s="16">
        <f>IF(E108&lt;=10000000,B108-(B108*0.15+685000),IF(AND(E108&gt;10000000,E108&lt;=20000000),B108-(B108*0.15+585000),B108-(B108*0.15+485000)))</f>
        <v>-685000</v>
      </c>
      <c r="R115" s="8"/>
    </row>
    <row r="116" spans="1:18" ht="18.75" customHeight="1" x14ac:dyDescent="0.2">
      <c r="A116" s="8"/>
      <c r="B116" s="8"/>
      <c r="C116" s="8"/>
      <c r="D116" s="8"/>
      <c r="E116" s="8"/>
      <c r="F116" s="8"/>
      <c r="G116" s="8"/>
      <c r="H116" s="8"/>
      <c r="I116" s="8"/>
      <c r="J116" s="15">
        <v>1622000</v>
      </c>
      <c r="K116" s="16">
        <v>1072000</v>
      </c>
      <c r="L116" s="8"/>
      <c r="M116" s="15">
        <v>7700001</v>
      </c>
      <c r="N116" s="16">
        <f>IF(E108&lt;=10000000,B108-(B108*0.05+1455000),IF(AND(E108&gt;10000000,E108&lt;=20000000),B108-(B108*0.05+1355000),B108-(B108*0.05+1255000)))</f>
        <v>-1455000</v>
      </c>
      <c r="O116" s="8"/>
      <c r="P116" s="15">
        <v>7700001</v>
      </c>
      <c r="Q116" s="20">
        <f>IF(E108&lt;=10000000,B108-(B108*0.05+1455000),IF(AND(E108&gt;10000000,E108&lt;=20000000),B108-(B108*0.05+1355000),B108-(B108*0.05+1255000)))</f>
        <v>-1455000</v>
      </c>
      <c r="R116" s="8"/>
    </row>
    <row r="117" spans="1:18" ht="18.75" customHeight="1" x14ac:dyDescent="0.2">
      <c r="A117" s="8"/>
      <c r="B117" s="8"/>
      <c r="C117" s="8"/>
      <c r="D117" s="8"/>
      <c r="E117" s="8"/>
      <c r="F117" s="8"/>
      <c r="G117" s="8"/>
      <c r="H117" s="8"/>
      <c r="I117" s="8"/>
      <c r="J117" s="15">
        <v>1623999</v>
      </c>
      <c r="K117" s="16">
        <v>1072000</v>
      </c>
      <c r="L117" s="8"/>
      <c r="M117" s="15">
        <v>10000000</v>
      </c>
      <c r="N117" s="16">
        <f>IF(E108&lt;=10000000,B108-(B108*0.05+1455000),IF(AND(E108&gt;10000000,E108&lt;=20000000),B108-(B108*0.05+1355000),B108-(B108*0.05+1255000)))</f>
        <v>-1455000</v>
      </c>
      <c r="O117" s="8"/>
      <c r="P117" s="15">
        <v>10000000</v>
      </c>
      <c r="Q117" s="293">
        <f>IF(E108&lt;=10000000,B108-(B108*0.05+1455000),IF(AND(E108&gt;10000000,E108&lt;=20000000),B108-(B108*0.05+1355000),B108-(B108*0.05+1255000)))</f>
        <v>-1455000</v>
      </c>
      <c r="R117" s="8"/>
    </row>
    <row r="118" spans="1:18" ht="18.75" customHeight="1" thickBot="1" x14ac:dyDescent="0.25">
      <c r="A118" s="8"/>
      <c r="B118" s="8"/>
      <c r="C118" s="8"/>
      <c r="D118" s="8"/>
      <c r="E118" s="8"/>
      <c r="F118" s="8"/>
      <c r="G118" s="8"/>
      <c r="H118" s="8"/>
      <c r="I118" s="8"/>
      <c r="J118" s="15">
        <v>1624000</v>
      </c>
      <c r="K118" s="16">
        <v>1074000</v>
      </c>
      <c r="L118" s="8"/>
      <c r="M118" s="17">
        <v>10000001</v>
      </c>
      <c r="N118" s="18">
        <f>IF(E108&lt;=10000000,B108-1955000,IF(AND(E108&gt;10000000,E108&lt;=20000000),B108-1855000,B108-1755000))</f>
        <v>-1955000</v>
      </c>
      <c r="O118" s="8"/>
      <c r="P118" s="17">
        <v>10000001</v>
      </c>
      <c r="Q118" s="294">
        <f>IF(E108&lt;=10000000,B108-1955000,IF(AND(E108&gt;10000000,E108&lt;=20000000),B108-1855000,B108-1755000))</f>
        <v>-1955000</v>
      </c>
      <c r="R118" s="8"/>
    </row>
    <row r="119" spans="1:18" ht="18.75" customHeight="1" x14ac:dyDescent="0.2">
      <c r="A119" s="8"/>
      <c r="B119" s="8"/>
      <c r="C119" s="8"/>
      <c r="D119" s="8"/>
      <c r="E119" s="8"/>
      <c r="F119" s="8"/>
      <c r="G119" s="8"/>
      <c r="H119" s="8"/>
      <c r="I119" s="8"/>
      <c r="J119" s="15">
        <v>1627999</v>
      </c>
      <c r="K119" s="16">
        <v>1074000</v>
      </c>
      <c r="L119" s="8"/>
      <c r="O119" s="8"/>
      <c r="R119" s="8"/>
    </row>
    <row r="120" spans="1:18" ht="18.75" customHeight="1" x14ac:dyDescent="0.2">
      <c r="A120" s="8"/>
      <c r="B120" s="8"/>
      <c r="C120" s="8"/>
      <c r="D120" s="8"/>
      <c r="E120" s="8"/>
      <c r="F120" s="8"/>
      <c r="G120" s="8"/>
      <c r="H120" s="8"/>
      <c r="I120" s="8"/>
      <c r="J120" s="15">
        <v>1628000</v>
      </c>
      <c r="K120" s="16">
        <f>ROUNDDOWN($A$108/4,-3)*2.4+100000</f>
        <v>100000</v>
      </c>
      <c r="L120" s="8"/>
      <c r="O120" s="8"/>
      <c r="R120" s="8"/>
    </row>
    <row r="121" spans="1:18" ht="18.75" customHeight="1" x14ac:dyDescent="0.2">
      <c r="A121" s="8"/>
      <c r="B121" s="8"/>
      <c r="C121" s="8"/>
      <c r="D121" s="8"/>
      <c r="E121" s="8"/>
      <c r="F121" s="8"/>
      <c r="G121" s="8"/>
      <c r="H121" s="8"/>
      <c r="I121" s="8"/>
      <c r="J121" s="15">
        <v>1799999</v>
      </c>
      <c r="K121" s="16">
        <f>ROUNDDOWN($A$108/4,-3)*2.4+100000</f>
        <v>100000</v>
      </c>
      <c r="L121" s="8"/>
      <c r="O121" s="8"/>
      <c r="R121" s="8"/>
    </row>
    <row r="122" spans="1:18" ht="18.75" customHeight="1" x14ac:dyDescent="0.2">
      <c r="A122" s="8"/>
      <c r="B122" s="8"/>
      <c r="C122" s="8"/>
      <c r="D122" s="8"/>
      <c r="E122" s="8"/>
      <c r="F122" s="8"/>
      <c r="G122" s="8"/>
      <c r="H122" s="8"/>
      <c r="I122" s="8"/>
      <c r="J122" s="15">
        <v>1800000</v>
      </c>
      <c r="K122" s="16">
        <f>ROUNDDOWN($A$108/4,-3)*2.8-80000</f>
        <v>-80000</v>
      </c>
      <c r="L122" s="8"/>
      <c r="O122" s="8"/>
      <c r="R122" s="8"/>
    </row>
    <row r="123" spans="1:18" ht="18.75" customHeight="1" x14ac:dyDescent="0.2">
      <c r="A123" s="8"/>
      <c r="B123" s="8"/>
      <c r="C123" s="8"/>
      <c r="D123" s="8"/>
      <c r="E123" s="8"/>
      <c r="F123" s="8"/>
      <c r="G123" s="8"/>
      <c r="H123" s="8"/>
      <c r="I123" s="8"/>
      <c r="J123" s="15">
        <v>3599999</v>
      </c>
      <c r="K123" s="16">
        <f>ROUNDDOWN($A$108/4,-3)*2.8-80000</f>
        <v>-80000</v>
      </c>
      <c r="L123" s="8"/>
      <c r="O123" s="8"/>
      <c r="R123" s="8"/>
    </row>
    <row r="124" spans="1:18" ht="18.75" customHeight="1" x14ac:dyDescent="0.2">
      <c r="A124" s="8"/>
      <c r="B124" s="8"/>
      <c r="C124" s="8"/>
      <c r="D124" s="8"/>
      <c r="E124" s="8"/>
      <c r="F124" s="8"/>
      <c r="G124" s="8"/>
      <c r="H124" s="8"/>
      <c r="I124" s="8"/>
      <c r="J124" s="15">
        <v>3600000</v>
      </c>
      <c r="K124" s="16">
        <f>ROUNDDOWN($A$108/4,-3)*3.2-440000</f>
        <v>-440000</v>
      </c>
      <c r="L124" s="8"/>
      <c r="O124" s="8"/>
      <c r="R124" s="8"/>
    </row>
    <row r="125" spans="1:18" ht="18.75" customHeight="1" x14ac:dyDescent="0.2">
      <c r="A125" s="8"/>
      <c r="B125" s="8"/>
      <c r="C125" s="8"/>
      <c r="D125" s="8"/>
      <c r="E125" s="8"/>
      <c r="F125" s="8"/>
      <c r="G125" s="8"/>
      <c r="H125" s="8"/>
      <c r="I125" s="8"/>
      <c r="J125" s="15">
        <v>6599999</v>
      </c>
      <c r="K125" s="16">
        <f>ROUNDDOWN($A$108/4,-3)*3.2-440000</f>
        <v>-440000</v>
      </c>
      <c r="L125" s="8"/>
      <c r="O125" s="8"/>
      <c r="R125" s="8"/>
    </row>
    <row r="126" spans="1:18" ht="18.75" customHeight="1" x14ac:dyDescent="0.2">
      <c r="A126" s="8"/>
      <c r="B126" s="8"/>
      <c r="C126" s="8"/>
      <c r="D126" s="8"/>
      <c r="E126" s="8"/>
      <c r="F126" s="8"/>
      <c r="G126" s="8"/>
      <c r="H126" s="8"/>
      <c r="I126" s="8"/>
      <c r="J126" s="15">
        <v>6600000</v>
      </c>
      <c r="K126" s="16">
        <f>$A$108*0.9-1100000</f>
        <v>-1100000</v>
      </c>
      <c r="L126" s="8"/>
      <c r="O126" s="8"/>
      <c r="R126" s="8"/>
    </row>
    <row r="127" spans="1:18" ht="18.75" customHeight="1" thickBot="1" x14ac:dyDescent="0.25">
      <c r="A127" s="8"/>
      <c r="B127" s="8"/>
      <c r="C127" s="8"/>
      <c r="D127" s="8"/>
      <c r="E127" s="8"/>
      <c r="F127" s="8"/>
      <c r="G127" s="8"/>
      <c r="H127" s="8"/>
      <c r="I127" s="8"/>
      <c r="J127" s="19">
        <v>8499999</v>
      </c>
      <c r="K127" s="16">
        <f>$A$108*0.9-1100000</f>
        <v>-1100000</v>
      </c>
      <c r="L127" s="8"/>
      <c r="O127" s="8"/>
      <c r="R127" s="8"/>
    </row>
    <row r="128" spans="1:18" ht="18.75" customHeight="1" thickBot="1" x14ac:dyDescent="0.25">
      <c r="A128" s="8"/>
      <c r="B128" s="8"/>
      <c r="C128" s="8"/>
      <c r="D128" s="8"/>
      <c r="E128" s="8"/>
      <c r="F128" s="8"/>
      <c r="G128" s="8"/>
      <c r="H128" s="8"/>
      <c r="I128" s="8"/>
      <c r="J128" s="235">
        <v>8500000</v>
      </c>
      <c r="K128" s="234">
        <f>A108-1950000</f>
        <v>-1950000</v>
      </c>
      <c r="L128" s="8"/>
      <c r="O128" s="8"/>
      <c r="R128" s="8"/>
    </row>
    <row r="129" spans="1:18" ht="18.75" customHeight="1" x14ac:dyDescent="0.2">
      <c r="A129" s="8"/>
      <c r="B129" s="8"/>
      <c r="C129" s="8"/>
      <c r="D129" s="8"/>
      <c r="E129" s="8"/>
      <c r="F129" s="8"/>
      <c r="G129" s="8"/>
      <c r="H129" s="8"/>
      <c r="I129" s="8"/>
      <c r="J129" s="229" t="b">
        <f>IF(税率登録シート!$D$2&lt;=2016,14999999,IF(税率登録シート!$D$2=2017,11999999,IF(税率登録シート!$D$2=2018,"")))</f>
        <v>0</v>
      </c>
      <c r="K129" s="230" t="str">
        <f>IF(税率登録シート!$D$2&lt;=2017,A108*0.95-1700000,"")</f>
        <v/>
      </c>
      <c r="L129" s="8"/>
      <c r="O129" s="8"/>
      <c r="R129" s="8"/>
    </row>
    <row r="130" spans="1:18" ht="18.75" customHeight="1" thickBot="1" x14ac:dyDescent="0.25">
      <c r="A130" s="8"/>
      <c r="B130" s="8"/>
      <c r="C130" s="8"/>
      <c r="D130" s="8"/>
      <c r="E130" s="8"/>
      <c r="F130" s="8"/>
      <c r="G130" s="8"/>
      <c r="H130" s="8"/>
      <c r="I130" s="8"/>
      <c r="J130" s="231" t="b">
        <f>IF(税率登録シート!$D$2&lt;=2016,15000000,IF(税率登録シート!$D$2=2017,12000000,IF(税率登録シート!$D$2=2018,"")))</f>
        <v>0</v>
      </c>
      <c r="K130" s="232" t="b">
        <f>IF(税率登録シート!$D$2&lt;=2016,A108-2450000,IF(税率登録シート!$D$2=2017,A108-2300000,IF(税率登録シート!$D$2=2018,"")))</f>
        <v>0</v>
      </c>
      <c r="L130" s="8"/>
      <c r="O130" s="8"/>
      <c r="R130" s="8"/>
    </row>
    <row r="131" spans="1:18" ht="18.75" customHeight="1" x14ac:dyDescent="0.15"/>
    <row r="132" spans="1:18" ht="18.75" customHeight="1" thickBot="1" x14ac:dyDescent="0.25">
      <c r="A132" s="59" t="s">
        <v>10</v>
      </c>
      <c r="B132" s="1"/>
      <c r="M132" s="787" t="str">
        <f>$M$2</f>
        <v>昭和35年１月１日 以前</v>
      </c>
      <c r="N132" s="787"/>
      <c r="P132" s="787" t="str">
        <f>$P$2</f>
        <v>昭和35年１月２日 以降</v>
      </c>
      <c r="Q132" s="787"/>
    </row>
    <row r="133" spans="1:18" ht="18.75" customHeight="1" thickBot="1" x14ac:dyDescent="0.2">
      <c r="A133" s="11" t="s">
        <v>12</v>
      </c>
      <c r="B133" s="11" t="s">
        <v>4</v>
      </c>
      <c r="C133" s="23" t="s">
        <v>13</v>
      </c>
      <c r="D133" s="28" t="s">
        <v>14</v>
      </c>
      <c r="E133" s="31" t="s">
        <v>29</v>
      </c>
      <c r="F133" s="33" t="s">
        <v>2</v>
      </c>
      <c r="G133" s="121"/>
      <c r="H133" s="121"/>
      <c r="I133" s="2"/>
      <c r="J133" s="3" t="s">
        <v>12</v>
      </c>
      <c r="K133" s="4" t="s">
        <v>13</v>
      </c>
      <c r="M133" s="3" t="s">
        <v>4</v>
      </c>
      <c r="N133" s="4" t="s">
        <v>14</v>
      </c>
      <c r="P133" s="3" t="s">
        <v>4</v>
      </c>
      <c r="Q133" s="4" t="s">
        <v>14</v>
      </c>
    </row>
    <row r="134" spans="1:18" ht="18.75" customHeight="1" thickTop="1" thickBot="1" x14ac:dyDescent="0.25">
      <c r="A134" s="5">
        <f>入力試算シート!I27</f>
        <v>0</v>
      </c>
      <c r="B134" s="5">
        <f>入力試算シート!N27</f>
        <v>0</v>
      </c>
      <c r="C134" s="29">
        <f>IF(入力試算シート!AO27="無し",IF(VLOOKUP($A134,$J134:$K156,2,TRUE)-IF($D134&gt;=100000,100000,$D134)&lt;0,0,VLOOKUP($A134,$J134:$K156,2,TRUE)-IF($D134&gt;=100000,100000,$D134)),速算表!K154-IF($A134&lt;10000000,ROUNDUP(($A134-8500000)*0.1,0),150000)-IF($D134&gt;=100000,100000,$D134))</f>
        <v>0</v>
      </c>
      <c r="D134" s="30">
        <f>IF(入力試算シート!S27="以前",VLOOKUP($B$134,$M$134:$N$144,2,TRUE),VLOOKUP($B$134,$P$134:$Q$144,2,TRUE))</f>
        <v>0</v>
      </c>
      <c r="E134" s="32">
        <f>入力試算シート!U27</f>
        <v>0</v>
      </c>
      <c r="F134" s="42">
        <f>IF(SUM($C134:$E134)&lt;=0,0,SUM($C134:$E134))</f>
        <v>0</v>
      </c>
      <c r="G134" s="122"/>
      <c r="H134" s="122"/>
      <c r="I134" s="5"/>
      <c r="J134" s="6">
        <v>0</v>
      </c>
      <c r="K134" s="7">
        <v>0</v>
      </c>
      <c r="L134" s="8"/>
      <c r="M134" s="9">
        <v>0</v>
      </c>
      <c r="N134" s="10">
        <v>0</v>
      </c>
      <c r="O134" s="8"/>
      <c r="P134" s="9">
        <v>0</v>
      </c>
      <c r="Q134" s="10">
        <v>0</v>
      </c>
      <c r="R134" s="8"/>
    </row>
    <row r="135" spans="1:18" ht="18.75" customHeight="1" thickBot="1" x14ac:dyDescent="0.25">
      <c r="A135" s="5"/>
      <c r="B135" s="5" t="s">
        <v>205</v>
      </c>
      <c r="C135" s="320">
        <f>IF(入力試算シート!AO27="無し",IF(VLOOKUP($A134,$J134:$K156,2,TRUE)-IF($D135&gt;=100000,100000,$D135)&lt;0,0,VLOOKUP($A134,$J134:$K156,2,TRUE)-IF($D135&gt;=100000,100000,$D135)),速算表!K154-IF($A134&lt;10000000,ROUNDUP(($A134-8500000)*0.1,0),150000)-IF($D135&gt;=100000,100000,$D135))</f>
        <v>0</v>
      </c>
      <c r="D135" s="321">
        <f>IF($D134=0,0,IF(AND(入力試算シート!S152="以前",$B134&lt;=1250000),$B134-1100000-$N$136,IF(入力試算シート!S152="以降",$D134,$D134-150000)))</f>
        <v>0</v>
      </c>
      <c r="E135" s="322">
        <f>$E134</f>
        <v>0</v>
      </c>
      <c r="F135" s="323">
        <f>IF(SUM($C135:$E135)&lt;=0,0,SUM($C135:$E135))</f>
        <v>0</v>
      </c>
      <c r="G135" s="12"/>
      <c r="H135" s="12"/>
      <c r="I135" s="12"/>
      <c r="J135" s="13">
        <v>550999</v>
      </c>
      <c r="K135" s="14">
        <v>0</v>
      </c>
      <c r="L135" s="8"/>
      <c r="M135" s="15">
        <v>1100000</v>
      </c>
      <c r="N135" s="16">
        <v>0</v>
      </c>
      <c r="O135" s="8"/>
      <c r="P135" s="15">
        <v>600000</v>
      </c>
      <c r="Q135" s="16">
        <v>0</v>
      </c>
      <c r="R135" s="8"/>
    </row>
    <row r="136" spans="1:18" ht="18.75" customHeight="1" x14ac:dyDescent="0.2">
      <c r="A136" s="5"/>
      <c r="B136" s="5"/>
      <c r="C136" s="5"/>
      <c r="D136" s="8"/>
      <c r="E136" s="8"/>
      <c r="F136" s="8"/>
      <c r="G136" s="8"/>
      <c r="H136" s="8"/>
      <c r="I136" s="8"/>
      <c r="J136" s="13">
        <v>551000</v>
      </c>
      <c r="K136" s="14">
        <f>A134-550000</f>
        <v>-550000</v>
      </c>
      <c r="L136" s="8"/>
      <c r="M136" s="15">
        <v>1100001</v>
      </c>
      <c r="N136" s="16">
        <f>IF(E134&lt;=10000000,B134-1100000,IF(AND(E134&gt;10000000,E134&lt;=20000000),B134-1000000,B134-900000))</f>
        <v>-1100000</v>
      </c>
      <c r="O136" s="8"/>
      <c r="P136" s="15">
        <v>600001</v>
      </c>
      <c r="Q136" s="16">
        <f>IF(E134&lt;=10000000,B134-600000,IF(AND(E134&gt;10000000,E134&lt;=20000000),B134-500000,B134-400000))</f>
        <v>-600000</v>
      </c>
      <c r="R136" s="8"/>
    </row>
    <row r="137" spans="1:18" ht="18.75" customHeight="1" x14ac:dyDescent="0.2">
      <c r="A137" s="5"/>
      <c r="B137" s="5"/>
      <c r="C137" s="5"/>
      <c r="D137" s="8"/>
      <c r="E137" s="8"/>
      <c r="F137" s="8"/>
      <c r="G137" s="8"/>
      <c r="H137" s="8"/>
      <c r="I137" s="8"/>
      <c r="J137" s="15">
        <v>1618999</v>
      </c>
      <c r="K137" s="16">
        <f>A134-550000</f>
        <v>-550000</v>
      </c>
      <c r="L137" s="8"/>
      <c r="M137" s="15">
        <v>3300000</v>
      </c>
      <c r="N137" s="16">
        <f>IF(E134&lt;=10000000,B134-1100000,IF(AND(E134&gt;10000000,E134&lt;=20000000),B134-1000000,B134-900000))</f>
        <v>-1100000</v>
      </c>
      <c r="O137" s="8"/>
      <c r="P137" s="15">
        <v>1300000</v>
      </c>
      <c r="Q137" s="16">
        <f>IF(E134&lt;=10000000,B134-600000,IF(AND(E134&gt;10000000,E134&lt;=20000000),B134-500000,B134-400000))</f>
        <v>-600000</v>
      </c>
      <c r="R137" s="8"/>
    </row>
    <row r="138" spans="1:18" ht="18.75" customHeight="1" x14ac:dyDescent="0.2">
      <c r="A138" s="5"/>
      <c r="B138" s="5"/>
      <c r="C138" s="5"/>
      <c r="D138" s="8"/>
      <c r="E138" s="8"/>
      <c r="F138" s="8"/>
      <c r="G138" s="8"/>
      <c r="H138" s="8"/>
      <c r="I138" s="8"/>
      <c r="J138" s="15">
        <v>1619000</v>
      </c>
      <c r="K138" s="16">
        <v>1069000</v>
      </c>
      <c r="L138" s="8"/>
      <c r="M138" s="15">
        <v>3300001</v>
      </c>
      <c r="N138" s="16">
        <f>IF(E134&lt;=10000000,B134-(B134*0.25+275000),IF(AND(E134&gt;10000000,E134&lt;=20000000),B134-(B134*0.25+175000),B134-(B134*0.25+75000)))</f>
        <v>-275000</v>
      </c>
      <c r="O138" s="8"/>
      <c r="P138" s="15">
        <v>1300001</v>
      </c>
      <c r="Q138" s="16">
        <f>IF(E134&lt;=10000000,B134-(B134*0.25+275000),IF(AND(E134&gt;10000000,E134&lt;=20000000),B134-(B134*0.25+175000),B134-(B134*0.25+75000)))</f>
        <v>-275000</v>
      </c>
      <c r="R138" s="8"/>
    </row>
    <row r="139" spans="1:18" ht="18.75" customHeight="1" x14ac:dyDescent="0.2">
      <c r="A139" s="5"/>
      <c r="B139" s="5"/>
      <c r="C139" s="5"/>
      <c r="D139" s="8"/>
      <c r="E139" s="8"/>
      <c r="F139" s="8"/>
      <c r="G139" s="8"/>
      <c r="H139" s="8"/>
      <c r="I139" s="8"/>
      <c r="J139" s="15">
        <v>1619999</v>
      </c>
      <c r="K139" s="16">
        <v>1069000</v>
      </c>
      <c r="L139" s="8"/>
      <c r="M139" s="15">
        <v>4100000</v>
      </c>
      <c r="N139" s="16">
        <f>IF(E134&lt;=10000000,B134-(B134*0.25+275000),IF(AND(E134&gt;10000000,E134&lt;=20000000),B134-(B134*0.25+175000),B134-(B134*0.25+75000)))</f>
        <v>-275000</v>
      </c>
      <c r="O139" s="8"/>
      <c r="P139" s="15">
        <v>4100000</v>
      </c>
      <c r="Q139" s="16">
        <f>IF(E134&lt;=10000000,B134-(B134*0.25+275000),IF(AND(E134&gt;10000000,E134&lt;=20000000),B134-(B134*0.25+175000),B134-(B134*0.25+75000)))</f>
        <v>-275000</v>
      </c>
      <c r="R139" s="8"/>
    </row>
    <row r="140" spans="1:18" ht="18.75" customHeight="1" x14ac:dyDescent="0.2">
      <c r="A140" s="5"/>
      <c r="B140" s="5"/>
      <c r="C140" s="5"/>
      <c r="D140" s="8"/>
      <c r="E140" s="8"/>
      <c r="F140" s="8"/>
      <c r="G140" s="8"/>
      <c r="H140" s="8"/>
      <c r="I140" s="8"/>
      <c r="J140" s="15">
        <v>1620000</v>
      </c>
      <c r="K140" s="16">
        <v>1070000</v>
      </c>
      <c r="L140" s="8"/>
      <c r="M140" s="15">
        <v>4100001</v>
      </c>
      <c r="N140" s="16">
        <f>IF(E134&lt;=10000000,B134-(B134*0.15+685000),IF(AND(E134&gt;10000000,E134&lt;=20000000),B134-(B134*0.15+585000),B134-(B134*0.15+485000)))</f>
        <v>-685000</v>
      </c>
      <c r="O140" s="8"/>
      <c r="P140" s="15">
        <v>4100001</v>
      </c>
      <c r="Q140" s="16">
        <f>IF(E134&lt;=10000000,B134-(B134*0.15+685000),IF(AND(E134&gt;10000000,E134&lt;=20000000),B134-(B134*0.15+585000),B134-(B134*0.15+485000)))</f>
        <v>-685000</v>
      </c>
      <c r="R140" s="8"/>
    </row>
    <row r="141" spans="1:18" ht="18.75" customHeight="1" x14ac:dyDescent="0.2">
      <c r="A141" s="8"/>
      <c r="B141" s="8"/>
      <c r="C141" s="8"/>
      <c r="D141" s="8"/>
      <c r="E141" s="8"/>
      <c r="F141" s="8"/>
      <c r="G141" s="8"/>
      <c r="H141" s="8"/>
      <c r="I141" s="8"/>
      <c r="J141" s="15">
        <v>1621999</v>
      </c>
      <c r="K141" s="16">
        <v>1070000</v>
      </c>
      <c r="L141" s="8"/>
      <c r="M141" s="15">
        <v>7700000</v>
      </c>
      <c r="N141" s="16">
        <f>IF(E134&lt;=10000000,B134-(B134*0.15+685000),IF(AND(E134&gt;10000000,E134&lt;=20000000),B134-(B134*0.15+585000),B134-(B134*0.15+485000)))</f>
        <v>-685000</v>
      </c>
      <c r="O141" s="8"/>
      <c r="P141" s="15">
        <v>7700000</v>
      </c>
      <c r="Q141" s="16">
        <f>IF(E134&lt;=10000000,B134-(B134*0.15+685000),IF(AND(E134&gt;10000000,E134&lt;=20000000),B134-(B134*0.15+585000),B134-(B134*0.15+485000)))</f>
        <v>-685000</v>
      </c>
      <c r="R141" s="8"/>
    </row>
    <row r="142" spans="1:18" ht="18.75" customHeight="1" x14ac:dyDescent="0.2">
      <c r="A142" s="8"/>
      <c r="B142" s="8"/>
      <c r="C142" s="8"/>
      <c r="D142" s="8"/>
      <c r="E142" s="8"/>
      <c r="F142" s="8"/>
      <c r="G142" s="8"/>
      <c r="H142" s="8"/>
      <c r="I142" s="8"/>
      <c r="J142" s="15">
        <v>1622000</v>
      </c>
      <c r="K142" s="16">
        <v>1072000</v>
      </c>
      <c r="L142" s="8"/>
      <c r="M142" s="15">
        <v>7700001</v>
      </c>
      <c r="N142" s="16">
        <f>IF(E134&lt;=10000000,B134-(B134*0.05+1455000),IF(AND(E134&gt;10000000,E134&lt;=20000000),B134-(B134*0.05+1355000),B134-(B134*0.05+1255000)))</f>
        <v>-1455000</v>
      </c>
      <c r="O142" s="8"/>
      <c r="P142" s="15">
        <v>7700001</v>
      </c>
      <c r="Q142" s="20">
        <f>IF(E134&lt;=10000000,B134-(B134*0.05+1455000),IF(AND(E134&gt;10000000,E134&lt;=20000000),B134-(B134*0.05+1355000),B134-(B134*0.05+1255000)))</f>
        <v>-1455000</v>
      </c>
      <c r="R142" s="8"/>
    </row>
    <row r="143" spans="1:18" ht="18.75" customHeight="1" x14ac:dyDescent="0.2">
      <c r="A143" s="8"/>
      <c r="B143" s="8"/>
      <c r="C143" s="8"/>
      <c r="D143" s="8"/>
      <c r="E143" s="8"/>
      <c r="F143" s="8"/>
      <c r="G143" s="8"/>
      <c r="H143" s="8"/>
      <c r="I143" s="8"/>
      <c r="J143" s="15">
        <v>1623999</v>
      </c>
      <c r="K143" s="16">
        <v>1072000</v>
      </c>
      <c r="L143" s="8"/>
      <c r="M143" s="15">
        <v>10000000</v>
      </c>
      <c r="N143" s="16">
        <f>IF(E134&lt;=10000000,B134-(B134*0.05+1455000),IF(AND(E134&gt;10000000,E134&lt;=20000000),B134-(B134*0.05+1355000),B134-(B134*0.05+1255000)))</f>
        <v>-1455000</v>
      </c>
      <c r="O143" s="8"/>
      <c r="P143" s="15">
        <v>10000000</v>
      </c>
      <c r="Q143" s="293">
        <f>IF(E134&lt;=10000000,B134-(B134*0.05+1455000),IF(AND(E134&gt;10000000,E134&lt;=20000000),B134-(B134*0.05+1355000),B134-(B134*0.05+1255000)))</f>
        <v>-1455000</v>
      </c>
      <c r="R143" s="8"/>
    </row>
    <row r="144" spans="1:18" ht="18.75" customHeight="1" thickBot="1" x14ac:dyDescent="0.25">
      <c r="A144" s="8"/>
      <c r="B144" s="8"/>
      <c r="C144" s="8"/>
      <c r="D144" s="8"/>
      <c r="E144" s="8"/>
      <c r="F144" s="8"/>
      <c r="G144" s="8"/>
      <c r="H144" s="8"/>
      <c r="I144" s="8"/>
      <c r="J144" s="15">
        <v>1624000</v>
      </c>
      <c r="K144" s="16">
        <v>1074000</v>
      </c>
      <c r="L144" s="8"/>
      <c r="M144" s="17">
        <v>10000001</v>
      </c>
      <c r="N144" s="18">
        <f>IF(E134&lt;=10000000,B134-1955000,IF(AND(E134&gt;10000000,E134&lt;=20000000),B134-1855000,B134-1755000))</f>
        <v>-1955000</v>
      </c>
      <c r="O144" s="8"/>
      <c r="P144" s="17">
        <v>10000001</v>
      </c>
      <c r="Q144" s="294">
        <f>IF(E134&lt;=10000000,B134-1955000,IF(AND(E134&gt;10000000,E134&lt;=20000000),B134-1855000,B134-1755000))</f>
        <v>-1955000</v>
      </c>
      <c r="R144" s="8"/>
    </row>
    <row r="145" spans="1:18" ht="18.75" customHeight="1" x14ac:dyDescent="0.2">
      <c r="A145" s="8"/>
      <c r="B145" s="8"/>
      <c r="C145" s="8"/>
      <c r="D145" s="8"/>
      <c r="E145" s="8"/>
      <c r="F145" s="8"/>
      <c r="G145" s="8"/>
      <c r="H145" s="8"/>
      <c r="I145" s="8"/>
      <c r="J145" s="15">
        <v>1627999</v>
      </c>
      <c r="K145" s="16">
        <v>1074000</v>
      </c>
      <c r="L145" s="8"/>
      <c r="O145" s="8"/>
      <c r="R145" s="8"/>
    </row>
    <row r="146" spans="1:18" ht="18.75" customHeight="1" x14ac:dyDescent="0.2">
      <c r="A146" s="8"/>
      <c r="B146" s="8"/>
      <c r="C146" s="8"/>
      <c r="D146" s="8"/>
      <c r="E146" s="8"/>
      <c r="F146" s="8"/>
      <c r="G146" s="8"/>
      <c r="H146" s="8"/>
      <c r="I146" s="8"/>
      <c r="J146" s="15">
        <v>1628000</v>
      </c>
      <c r="K146" s="16">
        <f>ROUNDDOWN($A$134/4,-3)*2.4+100000</f>
        <v>100000</v>
      </c>
      <c r="L146" s="8"/>
      <c r="O146" s="8"/>
      <c r="R146" s="8"/>
    </row>
    <row r="147" spans="1:18" ht="18.75" customHeight="1" x14ac:dyDescent="0.2">
      <c r="A147" s="8"/>
      <c r="B147" s="8"/>
      <c r="C147" s="8"/>
      <c r="D147" s="8"/>
      <c r="E147" s="8"/>
      <c r="F147" s="8"/>
      <c r="G147" s="8"/>
      <c r="H147" s="8"/>
      <c r="I147" s="8"/>
      <c r="J147" s="15">
        <v>1799999</v>
      </c>
      <c r="K147" s="16">
        <f>ROUNDDOWN($A$134/4,-3)*2.4+100000</f>
        <v>100000</v>
      </c>
      <c r="L147" s="8"/>
      <c r="O147" s="8"/>
      <c r="R147" s="8"/>
    </row>
    <row r="148" spans="1:18" ht="18.75" customHeight="1" x14ac:dyDescent="0.2">
      <c r="A148" s="8"/>
      <c r="B148" s="8"/>
      <c r="C148" s="8"/>
      <c r="D148" s="8"/>
      <c r="E148" s="8"/>
      <c r="F148" s="8"/>
      <c r="G148" s="8"/>
      <c r="H148" s="8"/>
      <c r="I148" s="8"/>
      <c r="J148" s="15">
        <v>1800000</v>
      </c>
      <c r="K148" s="16">
        <f>ROUNDDOWN($A$134/4,-3)*2.8-80000</f>
        <v>-80000</v>
      </c>
      <c r="L148" s="8"/>
      <c r="O148" s="8"/>
      <c r="R148" s="8"/>
    </row>
    <row r="149" spans="1:18" ht="18.75" customHeight="1" x14ac:dyDescent="0.2">
      <c r="A149" s="8"/>
      <c r="B149" s="8"/>
      <c r="C149" s="8"/>
      <c r="D149" s="8"/>
      <c r="E149" s="8"/>
      <c r="F149" s="8"/>
      <c r="G149" s="8"/>
      <c r="H149" s="8"/>
      <c r="I149" s="8"/>
      <c r="J149" s="15">
        <v>3599999</v>
      </c>
      <c r="K149" s="16">
        <f>ROUNDDOWN($A$134/4,-3)*2.8-80000</f>
        <v>-80000</v>
      </c>
      <c r="L149" s="8"/>
      <c r="O149" s="8"/>
      <c r="R149" s="8"/>
    </row>
    <row r="150" spans="1:18" ht="18.75" customHeight="1" x14ac:dyDescent="0.2">
      <c r="A150" s="8"/>
      <c r="B150" s="8"/>
      <c r="C150" s="8"/>
      <c r="D150" s="8"/>
      <c r="E150" s="8"/>
      <c r="F150" s="8"/>
      <c r="G150" s="8"/>
      <c r="H150" s="8"/>
      <c r="I150" s="8"/>
      <c r="J150" s="15">
        <v>3600000</v>
      </c>
      <c r="K150" s="16">
        <f>ROUNDDOWN($A$134/4,-3)*3.2-440000</f>
        <v>-440000</v>
      </c>
      <c r="L150" s="8"/>
      <c r="O150" s="8"/>
      <c r="R150" s="8"/>
    </row>
    <row r="151" spans="1:18" ht="18.75" customHeight="1" x14ac:dyDescent="0.2">
      <c r="A151" s="8"/>
      <c r="B151" s="8"/>
      <c r="C151" s="8"/>
      <c r="D151" s="8"/>
      <c r="E151" s="8"/>
      <c r="F151" s="8"/>
      <c r="G151" s="8"/>
      <c r="H151" s="8"/>
      <c r="I151" s="8"/>
      <c r="J151" s="15">
        <v>6599999</v>
      </c>
      <c r="K151" s="16">
        <f>ROUNDDOWN($A$134/4,-3)*3.2-440000</f>
        <v>-440000</v>
      </c>
      <c r="L151" s="8"/>
      <c r="O151" s="8"/>
      <c r="R151" s="8"/>
    </row>
    <row r="152" spans="1:18" ht="18.75" customHeight="1" x14ac:dyDescent="0.2">
      <c r="A152" s="8"/>
      <c r="B152" s="8"/>
      <c r="C152" s="8"/>
      <c r="D152" s="8"/>
      <c r="E152" s="8"/>
      <c r="F152" s="8"/>
      <c r="G152" s="8"/>
      <c r="H152" s="8"/>
      <c r="I152" s="8"/>
      <c r="J152" s="15">
        <v>6600000</v>
      </c>
      <c r="K152" s="16">
        <f>$A$134*0.9-1100000</f>
        <v>-1100000</v>
      </c>
      <c r="L152" s="8"/>
      <c r="O152" s="8"/>
      <c r="R152" s="8"/>
    </row>
    <row r="153" spans="1:18" ht="18.75" customHeight="1" thickBot="1" x14ac:dyDescent="0.25">
      <c r="A153" s="8"/>
      <c r="B153" s="8"/>
      <c r="C153" s="8"/>
      <c r="D153" s="8"/>
      <c r="E153" s="8"/>
      <c r="F153" s="8"/>
      <c r="G153" s="8"/>
      <c r="H153" s="8"/>
      <c r="I153" s="8"/>
      <c r="J153" s="19">
        <v>8499999</v>
      </c>
      <c r="K153" s="16">
        <f>$A$134*0.9-1100000</f>
        <v>-1100000</v>
      </c>
      <c r="L153" s="8"/>
      <c r="O153" s="8"/>
      <c r="R153" s="8"/>
    </row>
    <row r="154" spans="1:18" ht="18.75" customHeight="1" thickBot="1" x14ac:dyDescent="0.25">
      <c r="A154" s="8"/>
      <c r="B154" s="8"/>
      <c r="C154" s="8"/>
      <c r="D154" s="8"/>
      <c r="E154" s="8"/>
      <c r="F154" s="8"/>
      <c r="G154" s="8"/>
      <c r="H154" s="8"/>
      <c r="I154" s="8"/>
      <c r="J154" s="235">
        <v>8500000</v>
      </c>
      <c r="K154" s="234">
        <f>A134-1950000</f>
        <v>-1950000</v>
      </c>
      <c r="L154" s="8"/>
      <c r="O154" s="8"/>
      <c r="R154" s="8"/>
    </row>
    <row r="155" spans="1:18" ht="18.75" customHeight="1" x14ac:dyDescent="0.2">
      <c r="A155" s="8"/>
      <c r="B155" s="8"/>
      <c r="C155" s="8"/>
      <c r="D155" s="8"/>
      <c r="E155" s="8"/>
      <c r="F155" s="8"/>
      <c r="G155" s="8"/>
      <c r="H155" s="8"/>
      <c r="I155" s="8"/>
      <c r="J155" s="229" t="b">
        <f>IF(税率登録シート!$D$2&lt;=2016,14999999,IF(税率登録シート!$D$2=2017,11999999,IF(税率登録シート!$D$2=2018,"")))</f>
        <v>0</v>
      </c>
      <c r="K155" s="230" t="str">
        <f>IF(税率登録シート!$D$2&lt;=2017,A134*0.95-1700000,"")</f>
        <v/>
      </c>
      <c r="L155" s="8"/>
      <c r="O155" s="8"/>
      <c r="R155" s="8"/>
    </row>
    <row r="156" spans="1:18" ht="18.75" customHeight="1" thickBot="1" x14ac:dyDescent="0.25">
      <c r="A156" s="8"/>
      <c r="B156" s="8"/>
      <c r="C156" s="8"/>
      <c r="D156" s="8"/>
      <c r="E156" s="8"/>
      <c r="F156" s="8"/>
      <c r="G156" s="8"/>
      <c r="H156" s="8"/>
      <c r="I156" s="8"/>
      <c r="J156" s="231" t="b">
        <f>IF(税率登録シート!$D$2&lt;=2016,15000000,IF(税率登録シート!$D$2=2017,12000000,IF(税率登録シート!$D$2=2018,"")))</f>
        <v>0</v>
      </c>
      <c r="K156" s="232" t="b">
        <f>IF(税率登録シート!$D$2&lt;=2016,A134-2450000,IF(税率登録シート!$D$2=2017,A134-2300000,IF(税率登録シート!$D$2=2018,"")))</f>
        <v>0</v>
      </c>
      <c r="L156" s="8"/>
      <c r="O156" s="8"/>
      <c r="R156" s="8"/>
    </row>
    <row r="157" spans="1:18" ht="18.75" customHeight="1" x14ac:dyDescent="0.15"/>
    <row r="158" spans="1:18" ht="18.75" customHeight="1" thickBot="1" x14ac:dyDescent="0.25">
      <c r="A158" s="59" t="s">
        <v>11</v>
      </c>
      <c r="B158" s="1"/>
      <c r="M158" s="787" t="str">
        <f>$M$2</f>
        <v>昭和35年１月１日 以前</v>
      </c>
      <c r="N158" s="787"/>
      <c r="P158" s="787" t="str">
        <f>$P$2</f>
        <v>昭和35年１月２日 以降</v>
      </c>
      <c r="Q158" s="787"/>
    </row>
    <row r="159" spans="1:18" ht="18.75" customHeight="1" thickBot="1" x14ac:dyDescent="0.2">
      <c r="A159" s="11" t="s">
        <v>12</v>
      </c>
      <c r="B159" s="11" t="s">
        <v>4</v>
      </c>
      <c r="C159" s="23" t="s">
        <v>13</v>
      </c>
      <c r="D159" s="28" t="s">
        <v>14</v>
      </c>
      <c r="E159" s="31" t="s">
        <v>29</v>
      </c>
      <c r="F159" s="33" t="s">
        <v>2</v>
      </c>
      <c r="G159" s="121"/>
      <c r="H159" s="121"/>
      <c r="I159" s="2"/>
      <c r="J159" s="3" t="s">
        <v>12</v>
      </c>
      <c r="K159" s="4" t="s">
        <v>13</v>
      </c>
      <c r="M159" s="3" t="s">
        <v>4</v>
      </c>
      <c r="N159" s="4" t="s">
        <v>14</v>
      </c>
      <c r="P159" s="3" t="s">
        <v>4</v>
      </c>
      <c r="Q159" s="4" t="s">
        <v>14</v>
      </c>
    </row>
    <row r="160" spans="1:18" ht="18.75" customHeight="1" thickTop="1" thickBot="1" x14ac:dyDescent="0.25">
      <c r="A160" s="5">
        <f>入力試算シート!I28</f>
        <v>0</v>
      </c>
      <c r="B160" s="5">
        <f>入力試算シート!N28</f>
        <v>0</v>
      </c>
      <c r="C160" s="29">
        <f>IF(入力試算シート!AO28="無し",IF(VLOOKUP($A160,$J160:$K182,2,TRUE)-IF($D160&gt;=100000,100000,$D160)&lt;0,0,VLOOKUP($A160,$J160:$K182,2,TRUE)-IF($D160&gt;=100000,100000,$D160)),速算表!K180-IF($A160&lt;10000000,ROUNDUP(($A160-8500000)*0.1,0),150000)-IF($D160&gt;=100000,100000,$D160))</f>
        <v>0</v>
      </c>
      <c r="D160" s="30">
        <f>IF(入力試算シート!S28="以前",VLOOKUP($B$160,$M$160:$N$170,2,TRUE),VLOOKUP($B$160,$P$160:$Q$170,2,TRUE))</f>
        <v>0</v>
      </c>
      <c r="E160" s="32">
        <f>入力試算シート!U28</f>
        <v>0</v>
      </c>
      <c r="F160" s="42">
        <f>IF(SUM($C160:$E160)&lt;=0,0,SUM($C160:$E160))</f>
        <v>0</v>
      </c>
      <c r="G160" s="122"/>
      <c r="H160" s="122"/>
      <c r="I160" s="5"/>
      <c r="J160" s="6">
        <v>0</v>
      </c>
      <c r="K160" s="7">
        <v>0</v>
      </c>
      <c r="L160" s="8"/>
      <c r="M160" s="9">
        <v>0</v>
      </c>
      <c r="N160" s="10">
        <v>0</v>
      </c>
      <c r="O160" s="8"/>
      <c r="P160" s="9">
        <v>0</v>
      </c>
      <c r="Q160" s="10">
        <v>0</v>
      </c>
      <c r="R160" s="8"/>
    </row>
    <row r="161" spans="1:18" ht="18.75" customHeight="1" thickBot="1" x14ac:dyDescent="0.25">
      <c r="A161" s="5"/>
      <c r="B161" s="5" t="s">
        <v>205</v>
      </c>
      <c r="C161" s="320">
        <f>IF(入力試算シート!AO28="無し",IF(VLOOKUP($A160,$J160:$K182,2,TRUE)-IF($D161&gt;=100000,100000,$D161)&lt;0,0,VLOOKUP($A160,$J160:$K182,2,TRUE)-IF($D161&gt;=100000,100000,$D161)),速算表!K180-IF($A160&lt;10000000,ROUNDUP(($A160-8500000)*0.1,0),150000)-IF($D161&gt;=100000,100000,$D161))</f>
        <v>0</v>
      </c>
      <c r="D161" s="321">
        <f>IF($D160=0,0,IF(AND(入力試算シート!S178="以前",$B160&lt;=1250000),$B160-1100000-$N$162,IF(入力試算シート!S178="以降",$D160,$D160-150000)))</f>
        <v>0</v>
      </c>
      <c r="E161" s="322">
        <f>$E160</f>
        <v>0</v>
      </c>
      <c r="F161" s="323">
        <f>IF(SUM($C161:$E161)&lt;=0,0,SUM($C161:$E161))</f>
        <v>0</v>
      </c>
      <c r="G161" s="12"/>
      <c r="H161" s="12"/>
      <c r="I161" s="12"/>
      <c r="J161" s="13">
        <v>550999</v>
      </c>
      <c r="K161" s="14">
        <v>0</v>
      </c>
      <c r="L161" s="8"/>
      <c r="M161" s="15">
        <v>1100000</v>
      </c>
      <c r="N161" s="16">
        <v>0</v>
      </c>
      <c r="O161" s="8"/>
      <c r="P161" s="15">
        <v>600000</v>
      </c>
      <c r="Q161" s="16">
        <v>0</v>
      </c>
      <c r="R161" s="8"/>
    </row>
    <row r="162" spans="1:18" ht="18.75" customHeight="1" x14ac:dyDescent="0.2">
      <c r="A162" s="5"/>
      <c r="B162" s="5"/>
      <c r="C162" s="5"/>
      <c r="D162" s="8"/>
      <c r="E162" s="8"/>
      <c r="F162" s="8"/>
      <c r="G162" s="8"/>
      <c r="H162" s="8"/>
      <c r="I162" s="8"/>
      <c r="J162" s="13">
        <v>551000</v>
      </c>
      <c r="K162" s="14">
        <f>A160-550000</f>
        <v>-550000</v>
      </c>
      <c r="L162" s="8"/>
      <c r="M162" s="15">
        <v>1100001</v>
      </c>
      <c r="N162" s="16">
        <f>IF(E160&lt;=10000000,B160-1100000,IF(AND(E160&gt;10000000,E160&lt;=20000000),B160-1000000,B160-900000))</f>
        <v>-1100000</v>
      </c>
      <c r="O162" s="8"/>
      <c r="P162" s="15">
        <v>600001</v>
      </c>
      <c r="Q162" s="16">
        <f>IF(E160&lt;=10000000,B160-600000,IF(AND(E160&gt;10000000,E160&lt;=20000000),B160-500000,B160-400000))</f>
        <v>-600000</v>
      </c>
      <c r="R162" s="8"/>
    </row>
    <row r="163" spans="1:18" ht="18.75" customHeight="1" x14ac:dyDescent="0.2">
      <c r="A163" s="5"/>
      <c r="B163" s="5"/>
      <c r="C163" s="5"/>
      <c r="D163" s="8"/>
      <c r="E163" s="8"/>
      <c r="F163" s="8"/>
      <c r="G163" s="8"/>
      <c r="H163" s="8"/>
      <c r="I163" s="8"/>
      <c r="J163" s="15">
        <v>1618999</v>
      </c>
      <c r="K163" s="16">
        <f>A160-550000</f>
        <v>-550000</v>
      </c>
      <c r="L163" s="8"/>
      <c r="M163" s="15">
        <v>3300000</v>
      </c>
      <c r="N163" s="16">
        <f>IF(E160&lt;=10000000,B160-1100000,IF(AND(E160&gt;10000000,E160&lt;=20000000),B160-1000000,B160-900000))</f>
        <v>-1100000</v>
      </c>
      <c r="O163" s="8"/>
      <c r="P163" s="15">
        <v>1300000</v>
      </c>
      <c r="Q163" s="16">
        <f>IF(E160&lt;=10000000,B160-600000,IF(AND(E160&gt;10000000,E160&lt;=20000000),B160-500000,B160-400000))</f>
        <v>-600000</v>
      </c>
      <c r="R163" s="8"/>
    </row>
    <row r="164" spans="1:18" ht="18.75" customHeight="1" x14ac:dyDescent="0.2">
      <c r="A164" s="5"/>
      <c r="B164" s="5"/>
      <c r="C164" s="5"/>
      <c r="D164" s="8"/>
      <c r="E164" s="8"/>
      <c r="F164" s="8"/>
      <c r="G164" s="8"/>
      <c r="H164" s="8"/>
      <c r="I164" s="8"/>
      <c r="J164" s="15">
        <v>1619000</v>
      </c>
      <c r="K164" s="16">
        <v>1069000</v>
      </c>
      <c r="L164" s="8"/>
      <c r="M164" s="15">
        <v>3300001</v>
      </c>
      <c r="N164" s="16">
        <f>IF(E160&lt;=10000000,B160-(B160*0.25+275000),IF(AND(E160&gt;10000000,E160&lt;=20000000),B160-(B160*0.25+175000),B160-(B160*0.25+75000)))</f>
        <v>-275000</v>
      </c>
      <c r="O164" s="8"/>
      <c r="P164" s="15">
        <v>1300001</v>
      </c>
      <c r="Q164" s="16">
        <f>IF(E160&lt;=10000000,B160-(B160*0.25+275000),IF(AND(E160&gt;10000000,E160&lt;=20000000),B160-(B160*0.25+175000),B160-(B160*0.25+75000)))</f>
        <v>-275000</v>
      </c>
      <c r="R164" s="8"/>
    </row>
    <row r="165" spans="1:18" ht="18.75" customHeight="1" x14ac:dyDescent="0.2">
      <c r="A165" s="5"/>
      <c r="B165" s="5"/>
      <c r="C165" s="5"/>
      <c r="D165" s="8"/>
      <c r="E165" s="8"/>
      <c r="F165" s="8"/>
      <c r="G165" s="8"/>
      <c r="H165" s="8"/>
      <c r="I165" s="8"/>
      <c r="J165" s="15">
        <v>1619999</v>
      </c>
      <c r="K165" s="16">
        <v>1069000</v>
      </c>
      <c r="L165" s="8"/>
      <c r="M165" s="15">
        <v>4100000</v>
      </c>
      <c r="N165" s="16">
        <f>IF(E160&lt;=10000000,B160-(B160*0.25+275000),IF(AND(E160&gt;10000000,E160&lt;=20000000),B160-(B160*0.25+175000),B160-(B160*0.25+75000)))</f>
        <v>-275000</v>
      </c>
      <c r="O165" s="8"/>
      <c r="P165" s="15">
        <v>4100000</v>
      </c>
      <c r="Q165" s="16">
        <f>IF(E160&lt;=10000000,B160-(B160*0.25+275000),IF(AND(E160&gt;10000000,E160&lt;=20000000),B160-(B160*0.25+175000),B160-(B160*0.25+75000)))</f>
        <v>-275000</v>
      </c>
      <c r="R165" s="8"/>
    </row>
    <row r="166" spans="1:18" ht="18.75" customHeight="1" x14ac:dyDescent="0.2">
      <c r="A166" s="5"/>
      <c r="B166" s="5"/>
      <c r="C166" s="5"/>
      <c r="D166" s="8"/>
      <c r="E166" s="8"/>
      <c r="F166" s="8"/>
      <c r="G166" s="8"/>
      <c r="H166" s="8"/>
      <c r="I166" s="8"/>
      <c r="J166" s="15">
        <v>1620000</v>
      </c>
      <c r="K166" s="16">
        <v>1070000</v>
      </c>
      <c r="L166" s="8"/>
      <c r="M166" s="15">
        <v>4100001</v>
      </c>
      <c r="N166" s="16">
        <f>IF(E160&lt;=10000000,B160-(B160*0.15+685000),IF(AND(E160&gt;10000000,E160&lt;=20000000),B160-(B160*0.15+585000),B160-(B160*0.15+485000)))</f>
        <v>-685000</v>
      </c>
      <c r="O166" s="8"/>
      <c r="P166" s="15">
        <v>4100001</v>
      </c>
      <c r="Q166" s="16">
        <f>IF(E160&lt;=10000000,B160-(B160*0.15+685000),IF(AND(E160&gt;10000000,E160&lt;=20000000),B160-(B160*0.15+585000),B160-(B160*0.15+485000)))</f>
        <v>-685000</v>
      </c>
      <c r="R166" s="8"/>
    </row>
    <row r="167" spans="1:18" ht="18.75" customHeight="1" x14ac:dyDescent="0.2">
      <c r="A167" s="8"/>
      <c r="B167" s="8"/>
      <c r="C167" s="8"/>
      <c r="D167" s="8"/>
      <c r="E167" s="8"/>
      <c r="F167" s="8"/>
      <c r="G167" s="8"/>
      <c r="H167" s="8"/>
      <c r="I167" s="8"/>
      <c r="J167" s="15">
        <v>1621999</v>
      </c>
      <c r="K167" s="16">
        <v>1070000</v>
      </c>
      <c r="L167" s="8"/>
      <c r="M167" s="15">
        <v>7700000</v>
      </c>
      <c r="N167" s="16">
        <f>IF(E160&lt;=10000000,B160-(B160*0.15+685000),IF(AND(E160&gt;10000000,E160&lt;=20000000),B160-(B160*0.15+585000),B160-(B160*0.15+485000)))</f>
        <v>-685000</v>
      </c>
      <c r="O167" s="8"/>
      <c r="P167" s="15">
        <v>7700000</v>
      </c>
      <c r="Q167" s="16">
        <f>IF(E160&lt;=10000000,B160-(B160*0.15+685000),IF(AND(E160&gt;10000000,E160&lt;=20000000),B160-(B160*0.15+585000),B160-(B160*0.15+485000)))</f>
        <v>-685000</v>
      </c>
      <c r="R167" s="8"/>
    </row>
    <row r="168" spans="1:18" ht="18.75" customHeight="1" x14ac:dyDescent="0.2">
      <c r="A168" s="8"/>
      <c r="B168" s="8"/>
      <c r="C168" s="8"/>
      <c r="D168" s="8"/>
      <c r="E168" s="8"/>
      <c r="F168" s="8"/>
      <c r="G168" s="8"/>
      <c r="H168" s="8"/>
      <c r="I168" s="8"/>
      <c r="J168" s="15">
        <v>1622000</v>
      </c>
      <c r="K168" s="16">
        <v>1072000</v>
      </c>
      <c r="L168" s="8"/>
      <c r="M168" s="15">
        <v>7700001</v>
      </c>
      <c r="N168" s="16">
        <f>IF(E160&lt;=10000000,B160-(B160*0.05+1455000),IF(AND(E160&gt;10000000,E160&lt;=20000000),B160-(B160*0.05+1355000),B160-(B160*0.05+1255000)))</f>
        <v>-1455000</v>
      </c>
      <c r="O168" s="8"/>
      <c r="P168" s="15">
        <v>7700001</v>
      </c>
      <c r="Q168" s="20">
        <f>IF(E160&lt;=10000000,B160-(B160*0.05+1455000),IF(AND(E160&gt;10000000,E160&lt;=20000000),B160-(B160*0.05+1355000),B160-(B160*0.05+1255000)))</f>
        <v>-1455000</v>
      </c>
      <c r="R168" s="8"/>
    </row>
    <row r="169" spans="1:18" ht="18.75" customHeight="1" x14ac:dyDescent="0.2">
      <c r="A169" s="8"/>
      <c r="B169" s="8"/>
      <c r="C169" s="8"/>
      <c r="D169" s="8"/>
      <c r="E169" s="8"/>
      <c r="F169" s="8"/>
      <c r="G169" s="8"/>
      <c r="H169" s="8"/>
      <c r="I169" s="8"/>
      <c r="J169" s="15">
        <v>1623999</v>
      </c>
      <c r="K169" s="16">
        <v>1072000</v>
      </c>
      <c r="L169" s="8"/>
      <c r="M169" s="15">
        <v>10000000</v>
      </c>
      <c r="N169" s="16">
        <f>IF(E160&lt;=10000000,B160-(B160*0.05+1455000),IF(AND(E160&gt;10000000,E160&lt;=20000000),B160-(B160*0.05+1355000),B160-(B160*0.05+1255000)))</f>
        <v>-1455000</v>
      </c>
      <c r="O169" s="8"/>
      <c r="P169" s="15">
        <v>10000000</v>
      </c>
      <c r="Q169" s="293">
        <f>IF(E160&lt;=10000000,B160-(B160*0.05+1455000),IF(AND(E160&gt;10000000,E160&lt;=20000000),B160-(B160*0.05+1355000),B160-(B160*0.05+1255000)))</f>
        <v>-1455000</v>
      </c>
      <c r="R169" s="8"/>
    </row>
    <row r="170" spans="1:18" ht="18.75" customHeight="1" thickBot="1" x14ac:dyDescent="0.25">
      <c r="A170" s="8"/>
      <c r="B170" s="8"/>
      <c r="C170" s="8"/>
      <c r="D170" s="8"/>
      <c r="E170" s="8"/>
      <c r="F170" s="8"/>
      <c r="G170" s="8"/>
      <c r="H170" s="8"/>
      <c r="I170" s="8"/>
      <c r="J170" s="15">
        <v>1624000</v>
      </c>
      <c r="K170" s="16">
        <v>1074000</v>
      </c>
      <c r="L170" s="8"/>
      <c r="M170" s="17">
        <v>10000001</v>
      </c>
      <c r="N170" s="18">
        <f>IF(E160&lt;=10000000,B160-1955000,IF(AND(E160&gt;10000000,E160&lt;=20000000),B160-1855000,B160-1755000))</f>
        <v>-1955000</v>
      </c>
      <c r="O170" s="8"/>
      <c r="P170" s="17">
        <v>10000001</v>
      </c>
      <c r="Q170" s="294">
        <f>IF(E160&lt;=10000000,B160-1955000,IF(AND(E160&gt;10000000,E160&lt;=20000000),B160-1855000,B160-1755000))</f>
        <v>-1955000</v>
      </c>
      <c r="R170" s="8"/>
    </row>
    <row r="171" spans="1:18" ht="18.75" customHeight="1" x14ac:dyDescent="0.2">
      <c r="A171" s="8"/>
      <c r="B171" s="8"/>
      <c r="C171" s="8"/>
      <c r="D171" s="8"/>
      <c r="E171" s="8"/>
      <c r="F171" s="8"/>
      <c r="G171" s="8"/>
      <c r="H171" s="8"/>
      <c r="I171" s="8"/>
      <c r="J171" s="15">
        <v>1627999</v>
      </c>
      <c r="K171" s="16">
        <v>1074000</v>
      </c>
      <c r="L171" s="8"/>
      <c r="O171" s="8"/>
      <c r="R171" s="8"/>
    </row>
    <row r="172" spans="1:18" ht="18.75" customHeight="1" x14ac:dyDescent="0.2">
      <c r="A172" s="8"/>
      <c r="B172" s="8"/>
      <c r="C172" s="8"/>
      <c r="D172" s="8"/>
      <c r="E172" s="8"/>
      <c r="F172" s="8"/>
      <c r="G172" s="8"/>
      <c r="H172" s="8"/>
      <c r="I172" s="8"/>
      <c r="J172" s="15">
        <v>1628000</v>
      </c>
      <c r="K172" s="16">
        <f>ROUNDDOWN($A$160/4,-3)*2.4+100000</f>
        <v>100000</v>
      </c>
      <c r="L172" s="8"/>
      <c r="O172" s="8"/>
      <c r="R172" s="8"/>
    </row>
    <row r="173" spans="1:18" ht="18.75" customHeight="1" x14ac:dyDescent="0.2">
      <c r="A173" s="8"/>
      <c r="B173" s="8"/>
      <c r="C173" s="8"/>
      <c r="D173" s="8"/>
      <c r="E173" s="8"/>
      <c r="F173" s="8"/>
      <c r="G173" s="8"/>
      <c r="H173" s="8"/>
      <c r="I173" s="8"/>
      <c r="J173" s="15">
        <v>1799999</v>
      </c>
      <c r="K173" s="16">
        <f>ROUNDDOWN($A$160/4,-3)*2.4+100000</f>
        <v>100000</v>
      </c>
      <c r="L173" s="8"/>
      <c r="O173" s="8"/>
      <c r="R173" s="8"/>
    </row>
    <row r="174" spans="1:18" ht="18.75" customHeight="1" x14ac:dyDescent="0.2">
      <c r="A174" s="8"/>
      <c r="B174" s="8"/>
      <c r="C174" s="8"/>
      <c r="D174" s="8"/>
      <c r="E174" s="8"/>
      <c r="F174" s="8"/>
      <c r="G174" s="8"/>
      <c r="H174" s="8"/>
      <c r="I174" s="8"/>
      <c r="J174" s="15">
        <v>1800000</v>
      </c>
      <c r="K174" s="16">
        <f>ROUNDDOWN($A$160/4,-3)*2.8-80000</f>
        <v>-80000</v>
      </c>
      <c r="L174" s="8"/>
      <c r="O174" s="8"/>
      <c r="R174" s="8"/>
    </row>
    <row r="175" spans="1:18" ht="18.75" customHeight="1" x14ac:dyDescent="0.2">
      <c r="A175" s="8"/>
      <c r="B175" s="8"/>
      <c r="C175" s="8"/>
      <c r="D175" s="8"/>
      <c r="E175" s="8"/>
      <c r="F175" s="8"/>
      <c r="G175" s="8"/>
      <c r="H175" s="8"/>
      <c r="I175" s="8"/>
      <c r="J175" s="15">
        <v>3599999</v>
      </c>
      <c r="K175" s="16">
        <f>ROUNDDOWN($A$160/4,-3)*2.8-80000</f>
        <v>-80000</v>
      </c>
      <c r="L175" s="8"/>
      <c r="O175" s="8"/>
      <c r="R175" s="8"/>
    </row>
    <row r="176" spans="1:18" ht="18.75" customHeight="1" x14ac:dyDescent="0.2">
      <c r="A176" s="8"/>
      <c r="B176" s="8"/>
      <c r="C176" s="8"/>
      <c r="D176" s="8"/>
      <c r="E176" s="8"/>
      <c r="F176" s="8"/>
      <c r="G176" s="8"/>
      <c r="H176" s="8"/>
      <c r="I176" s="8"/>
      <c r="J176" s="15">
        <v>3600000</v>
      </c>
      <c r="K176" s="16">
        <f>ROUNDDOWN($A$160/4,-3)*3.2-440000</f>
        <v>-440000</v>
      </c>
      <c r="L176" s="8"/>
      <c r="O176" s="8"/>
      <c r="R176" s="8"/>
    </row>
    <row r="177" spans="1:18" ht="18.75" customHeight="1" x14ac:dyDescent="0.2">
      <c r="A177" s="8"/>
      <c r="B177" s="8"/>
      <c r="C177" s="8"/>
      <c r="D177" s="8"/>
      <c r="E177" s="8"/>
      <c r="F177" s="8"/>
      <c r="G177" s="8"/>
      <c r="H177" s="8"/>
      <c r="I177" s="8"/>
      <c r="J177" s="15">
        <v>6599999</v>
      </c>
      <c r="K177" s="16">
        <f>ROUNDDOWN($A$160/4,-3)*3.2-440000</f>
        <v>-440000</v>
      </c>
      <c r="L177" s="8"/>
      <c r="O177" s="8"/>
      <c r="R177" s="8"/>
    </row>
    <row r="178" spans="1:18" ht="18.75" customHeight="1" x14ac:dyDescent="0.2">
      <c r="A178" s="8"/>
      <c r="B178" s="8"/>
      <c r="C178" s="8"/>
      <c r="D178" s="8"/>
      <c r="E178" s="8"/>
      <c r="F178" s="8"/>
      <c r="G178" s="8"/>
      <c r="H178" s="8"/>
      <c r="I178" s="8"/>
      <c r="J178" s="15">
        <v>6600000</v>
      </c>
      <c r="K178" s="16">
        <f>$A$160*0.9-1100000</f>
        <v>-1100000</v>
      </c>
      <c r="L178" s="8"/>
      <c r="O178" s="8"/>
      <c r="R178" s="8"/>
    </row>
    <row r="179" spans="1:18" ht="18.75" customHeight="1" thickBot="1" x14ac:dyDescent="0.25">
      <c r="A179" s="8"/>
      <c r="B179" s="8"/>
      <c r="C179" s="8"/>
      <c r="D179" s="8"/>
      <c r="E179" s="8"/>
      <c r="F179" s="8"/>
      <c r="G179" s="8"/>
      <c r="H179" s="8"/>
      <c r="I179" s="8"/>
      <c r="J179" s="19">
        <v>8499999</v>
      </c>
      <c r="K179" s="16">
        <f>$A$160*0.9-1100000</f>
        <v>-1100000</v>
      </c>
      <c r="L179" s="8"/>
      <c r="O179" s="8"/>
      <c r="R179" s="8"/>
    </row>
    <row r="180" spans="1:18" ht="18.75" customHeight="1" thickBot="1" x14ac:dyDescent="0.25">
      <c r="A180" s="8"/>
      <c r="B180" s="8"/>
      <c r="C180" s="8"/>
      <c r="D180" s="8"/>
      <c r="E180" s="8"/>
      <c r="F180" s="8"/>
      <c r="G180" s="8"/>
      <c r="H180" s="8"/>
      <c r="I180" s="8"/>
      <c r="J180" s="235">
        <v>8500000</v>
      </c>
      <c r="K180" s="234">
        <f>A160-1950000</f>
        <v>-1950000</v>
      </c>
      <c r="L180" s="8"/>
      <c r="O180" s="8"/>
      <c r="R180" s="8"/>
    </row>
    <row r="181" spans="1:18" ht="18.75" customHeight="1" x14ac:dyDescent="0.2">
      <c r="A181" s="8"/>
      <c r="B181" s="8"/>
      <c r="C181" s="8"/>
      <c r="D181" s="8"/>
      <c r="E181" s="8"/>
      <c r="F181" s="8"/>
      <c r="G181" s="8"/>
      <c r="H181" s="8"/>
      <c r="I181" s="8"/>
      <c r="J181" s="229" t="b">
        <f>IF(税率登録シート!$D$2&lt;=2016,14999999,IF(税率登録シート!$D$2=2017,11999999,IF(税率登録シート!$D$2=2018,"")))</f>
        <v>0</v>
      </c>
      <c r="K181" s="230" t="str">
        <f>IF(税率登録シート!$D$2&lt;=2017,A160*0.95-1700000,"")</f>
        <v/>
      </c>
      <c r="L181" s="8"/>
      <c r="O181" s="8"/>
      <c r="R181" s="8"/>
    </row>
    <row r="182" spans="1:18" ht="18.75" customHeight="1" thickBot="1" x14ac:dyDescent="0.25">
      <c r="A182" s="8"/>
      <c r="B182" s="8"/>
      <c r="C182" s="8"/>
      <c r="D182" s="8"/>
      <c r="E182" s="8"/>
      <c r="F182" s="8"/>
      <c r="G182" s="8"/>
      <c r="H182" s="8"/>
      <c r="I182" s="8"/>
      <c r="J182" s="231" t="b">
        <f>IF(税率登録シート!$D$2&lt;=2016,15000000,IF(税率登録シート!$D$2=2017,12000000,IF(税率登録シート!$D$2=2018,"")))</f>
        <v>0</v>
      </c>
      <c r="K182" s="232" t="b">
        <f>IF(税率登録シート!$D$2&lt;=2016,A160-2450000,IF(税率登録シート!$D$2=2017,A160-2300000,IF(税率登録シート!$D$2=2018,"")))</f>
        <v>0</v>
      </c>
      <c r="L182" s="8"/>
      <c r="O182" s="8"/>
      <c r="R182" s="8"/>
    </row>
    <row r="183" spans="1:18" ht="18.75" customHeight="1" x14ac:dyDescent="0.15"/>
    <row r="184" spans="1:18" ht="18.75" customHeight="1" thickBot="1" x14ac:dyDescent="0.25">
      <c r="A184" s="59" t="s">
        <v>44</v>
      </c>
      <c r="B184" s="1"/>
      <c r="M184" s="787" t="str">
        <f>$M$2</f>
        <v>昭和35年１月１日 以前</v>
      </c>
      <c r="N184" s="787"/>
      <c r="P184" s="787" t="str">
        <f>$P$2</f>
        <v>昭和35年１月２日 以降</v>
      </c>
      <c r="Q184" s="787"/>
    </row>
    <row r="185" spans="1:18" ht="18.75" customHeight="1" thickBot="1" x14ac:dyDescent="0.2">
      <c r="A185" s="11" t="s">
        <v>12</v>
      </c>
      <c r="B185" s="11" t="s">
        <v>4</v>
      </c>
      <c r="C185" s="23" t="s">
        <v>13</v>
      </c>
      <c r="D185" s="28" t="s">
        <v>14</v>
      </c>
      <c r="E185" s="31" t="s">
        <v>29</v>
      </c>
      <c r="F185" s="33" t="s">
        <v>2</v>
      </c>
      <c r="G185" s="121"/>
      <c r="H185" s="121"/>
      <c r="I185" s="2"/>
      <c r="J185" s="3" t="s">
        <v>12</v>
      </c>
      <c r="K185" s="4" t="s">
        <v>13</v>
      </c>
      <c r="M185" s="3" t="s">
        <v>4</v>
      </c>
      <c r="N185" s="4" t="s">
        <v>14</v>
      </c>
      <c r="P185" s="3" t="s">
        <v>4</v>
      </c>
      <c r="Q185" s="4" t="s">
        <v>14</v>
      </c>
    </row>
    <row r="186" spans="1:18" ht="18.75" customHeight="1" thickTop="1" thickBot="1" x14ac:dyDescent="0.25">
      <c r="A186" s="5">
        <f>入力試算シート!I41</f>
        <v>0</v>
      </c>
      <c r="B186" s="5">
        <f>入力試算シート!N41</f>
        <v>0</v>
      </c>
      <c r="C186" s="29">
        <f>IF(入力試算シート!AE41="無し",IF(VLOOKUP($A186,$J186:$K208,2,TRUE)-IF($D186&gt;=100000,100000,$D186)&lt;0,0,VLOOKUP($A186,$J186:$K208,2,TRUE)-IF($D186&gt;=100000,100000,$D186)),速算表!K206-IF($A186&lt;10000000,ROUNDUP(($A186-8500000)*0.1,0),150000)-IF($D186&gt;=100000,100000,$D186))</f>
        <v>0</v>
      </c>
      <c r="D186" s="30">
        <f>IF(入力試算シート!S41="以前",VLOOKUP($B$186,$M$186:$N$196,2,TRUE),VLOOKUP($B$186,$P$186:$Q$196,2,TRUE))</f>
        <v>0</v>
      </c>
      <c r="E186" s="32">
        <f>入力試算シート!U41</f>
        <v>0</v>
      </c>
      <c r="F186" s="42">
        <f>IF(SUM($C186:$E186)&lt;=0,0,SUM($C186:$E186))</f>
        <v>0</v>
      </c>
      <c r="G186" s="122"/>
      <c r="H186" s="122"/>
      <c r="I186" s="5"/>
      <c r="J186" s="6">
        <v>0</v>
      </c>
      <c r="K186" s="7">
        <v>0</v>
      </c>
      <c r="L186" s="8"/>
      <c r="M186" s="9">
        <v>0</v>
      </c>
      <c r="N186" s="10">
        <v>0</v>
      </c>
      <c r="O186" s="8"/>
      <c r="P186" s="9">
        <v>0</v>
      </c>
      <c r="Q186" s="10">
        <v>0</v>
      </c>
      <c r="R186" s="8"/>
    </row>
    <row r="187" spans="1:18" ht="18.75" customHeight="1" thickBot="1" x14ac:dyDescent="0.25">
      <c r="A187" s="5"/>
      <c r="B187" s="5" t="s">
        <v>205</v>
      </c>
      <c r="C187" s="320">
        <f>IF(入力試算シート!AE41="無し",IF(VLOOKUP($A186,$J186:$K208,2,TRUE)-IF($D187&gt;=100000,100000,$D187)&lt;0,0,VLOOKUP($A186,$J186:$K208,2,TRUE)-IF($D187&gt;=100000,100000,$D187)),速算表!K206-IF($A186&lt;10000000,ROUNDUP(($A186-8500000)*0.1,0),150000)-IF($D187&gt;=100000,100000,$D187))</f>
        <v>0</v>
      </c>
      <c r="D187" s="321">
        <f>IF($D186=0,0,IF(AND(入力試算シート!S204="以前",$B186&lt;=1250000),$B186-1100000-$N$188,IF(入力試算シート!S204="以降",$D186,$D186-150000)))</f>
        <v>0</v>
      </c>
      <c r="E187" s="322">
        <f>$E186</f>
        <v>0</v>
      </c>
      <c r="F187" s="323">
        <f>IF(SUM($C187:$E187)&lt;=0,0,SUM($C187:$E187))</f>
        <v>0</v>
      </c>
      <c r="G187" s="12"/>
      <c r="H187" s="12"/>
      <c r="I187" s="12"/>
      <c r="J187" s="13">
        <v>550999</v>
      </c>
      <c r="K187" s="14">
        <v>0</v>
      </c>
      <c r="L187" s="8"/>
      <c r="M187" s="15">
        <v>1100000</v>
      </c>
      <c r="N187" s="16">
        <v>0</v>
      </c>
      <c r="O187" s="8"/>
      <c r="P187" s="15">
        <v>600000</v>
      </c>
      <c r="Q187" s="16">
        <v>0</v>
      </c>
      <c r="R187" s="8"/>
    </row>
    <row r="188" spans="1:18" ht="18.75" customHeight="1" x14ac:dyDescent="0.2">
      <c r="A188" s="5"/>
      <c r="B188" s="5"/>
      <c r="C188" s="5"/>
      <c r="D188" s="8"/>
      <c r="E188" s="8"/>
      <c r="F188" s="8"/>
      <c r="G188" s="8"/>
      <c r="H188" s="8"/>
      <c r="I188" s="8"/>
      <c r="J188" s="13">
        <v>551000</v>
      </c>
      <c r="K188" s="14">
        <f>A186-550000</f>
        <v>-550000</v>
      </c>
      <c r="L188" s="8"/>
      <c r="M188" s="15">
        <v>1100001</v>
      </c>
      <c r="N188" s="16">
        <f>IF(E186&lt;=10000000,B186-1100000,IF(AND(E186&gt;10000000,E186&lt;=20000000),B186-1000000,B186-900000))</f>
        <v>-1100000</v>
      </c>
      <c r="O188" s="8"/>
      <c r="P188" s="15">
        <v>600001</v>
      </c>
      <c r="Q188" s="16">
        <f>IF(E186&lt;=10000000,B186-600000,IF(AND(E186&gt;10000000,E186&lt;=20000000),B186-500000,B186-400000))</f>
        <v>-600000</v>
      </c>
      <c r="R188" s="8"/>
    </row>
    <row r="189" spans="1:18" ht="18.75" customHeight="1" x14ac:dyDescent="0.2">
      <c r="A189" s="5"/>
      <c r="B189" s="5"/>
      <c r="C189" s="5"/>
      <c r="D189" s="8"/>
      <c r="E189" s="8"/>
      <c r="F189" s="8"/>
      <c r="G189" s="8"/>
      <c r="H189" s="8"/>
      <c r="I189" s="8"/>
      <c r="J189" s="15">
        <v>1618999</v>
      </c>
      <c r="K189" s="16">
        <f>A186-550000</f>
        <v>-550000</v>
      </c>
      <c r="L189" s="8"/>
      <c r="M189" s="15">
        <v>3300000</v>
      </c>
      <c r="N189" s="16">
        <f>IF(E186&lt;=10000000,B186-1100000,IF(AND(E186&gt;10000000,E186&lt;=20000000),B186-1000000,B186-900000))</f>
        <v>-1100000</v>
      </c>
      <c r="O189" s="8"/>
      <c r="P189" s="15">
        <v>1300000</v>
      </c>
      <c r="Q189" s="16">
        <f>IF(E186&lt;=10000000,B186-600000,IF(AND(E186&gt;10000000,E186&lt;=20000000),B186-500000,B186-400000))</f>
        <v>-600000</v>
      </c>
      <c r="R189" s="8"/>
    </row>
    <row r="190" spans="1:18" ht="18.75" customHeight="1" x14ac:dyDescent="0.2">
      <c r="A190" s="5"/>
      <c r="B190" s="5"/>
      <c r="C190" s="5"/>
      <c r="D190" s="8"/>
      <c r="E190" s="8"/>
      <c r="F190" s="8"/>
      <c r="G190" s="8"/>
      <c r="H190" s="8"/>
      <c r="I190" s="8"/>
      <c r="J190" s="15">
        <v>1619000</v>
      </c>
      <c r="K190" s="16">
        <v>1069000</v>
      </c>
      <c r="L190" s="8"/>
      <c r="M190" s="15">
        <v>3300001</v>
      </c>
      <c r="N190" s="16">
        <f>IF(E186&lt;=10000000,B186-(B186*0.25+275000),IF(AND(E186&gt;10000000,E186&lt;=20000000),B186-(B186*0.25+175000),B186-(B186*0.25+75000)))</f>
        <v>-275000</v>
      </c>
      <c r="O190" s="8"/>
      <c r="P190" s="15">
        <v>1300001</v>
      </c>
      <c r="Q190" s="16">
        <f>IF(E186&lt;=10000000,B186-(B186*0.25+275000),IF(AND(E186&gt;10000000,E186&lt;=20000000),B186-(B186*0.25+175000),B186-(B186*0.25+75000)))</f>
        <v>-275000</v>
      </c>
      <c r="R190" s="8"/>
    </row>
    <row r="191" spans="1:18" ht="18.75" customHeight="1" x14ac:dyDescent="0.2">
      <c r="A191" s="5"/>
      <c r="B191" s="5"/>
      <c r="C191" s="5"/>
      <c r="D191" s="8"/>
      <c r="E191" s="8"/>
      <c r="F191" s="8"/>
      <c r="G191" s="8"/>
      <c r="H191" s="8"/>
      <c r="I191" s="8"/>
      <c r="J191" s="15">
        <v>1619999</v>
      </c>
      <c r="K191" s="16">
        <v>1069000</v>
      </c>
      <c r="L191" s="8"/>
      <c r="M191" s="15">
        <v>4100000</v>
      </c>
      <c r="N191" s="16">
        <f>IF(E186&lt;=10000000,B186-(B186*0.25+275000),IF(AND(E186&gt;10000000,E186&lt;=20000000),B186-(B186*0.25+175000),B186-(B186*0.25+75000)))</f>
        <v>-275000</v>
      </c>
      <c r="O191" s="8"/>
      <c r="P191" s="15">
        <v>4100000</v>
      </c>
      <c r="Q191" s="16">
        <f>IF(E186&lt;=10000000,B186-(B186*0.25+275000),IF(AND(E186&gt;10000000,E186&lt;=20000000),B186-(B186*0.25+175000),B186-(B186*0.25+75000)))</f>
        <v>-275000</v>
      </c>
      <c r="R191" s="8"/>
    </row>
    <row r="192" spans="1:18" ht="18.75" customHeight="1" x14ac:dyDescent="0.2">
      <c r="A192" s="5"/>
      <c r="B192" s="5"/>
      <c r="C192" s="5"/>
      <c r="D192" s="8"/>
      <c r="E192" s="8"/>
      <c r="F192" s="8"/>
      <c r="G192" s="8"/>
      <c r="H192" s="8"/>
      <c r="I192" s="8"/>
      <c r="J192" s="15">
        <v>1620000</v>
      </c>
      <c r="K192" s="16">
        <v>1070000</v>
      </c>
      <c r="L192" s="8"/>
      <c r="M192" s="15">
        <v>4100001</v>
      </c>
      <c r="N192" s="16">
        <f>IF(E186&lt;=10000000,B186-(B186*0.15+685000),IF(AND(E186&gt;10000000,E186&lt;=20000000),B186-(B186*0.15+585000),B186-(B186*0.15+485000)))</f>
        <v>-685000</v>
      </c>
      <c r="O192" s="8"/>
      <c r="P192" s="15">
        <v>4100001</v>
      </c>
      <c r="Q192" s="16">
        <f>IF(E186&lt;=10000000,B186-(B186*0.15+685000),IF(AND(E186&gt;10000000,E186&lt;=20000000),B186-(B186*0.15+585000),B186-(B186*0.15+485000)))</f>
        <v>-685000</v>
      </c>
      <c r="R192" s="8"/>
    </row>
    <row r="193" spans="1:18" ht="18.75" customHeight="1" x14ac:dyDescent="0.2">
      <c r="A193" s="8"/>
      <c r="B193" s="8"/>
      <c r="C193" s="8"/>
      <c r="D193" s="8"/>
      <c r="E193" s="8"/>
      <c r="F193" s="8"/>
      <c r="G193" s="8"/>
      <c r="H193" s="8"/>
      <c r="I193" s="8"/>
      <c r="J193" s="15">
        <v>1621999</v>
      </c>
      <c r="K193" s="16">
        <v>1070000</v>
      </c>
      <c r="L193" s="8"/>
      <c r="M193" s="15">
        <v>7700000</v>
      </c>
      <c r="N193" s="16">
        <f>IF(E186&lt;=10000000,B186-(B186*0.15+685000),IF(AND(E186&gt;10000000,E186&lt;=20000000),B186-(B186*0.15+585000),B186-(B186*0.15+485000)))</f>
        <v>-685000</v>
      </c>
      <c r="O193" s="8"/>
      <c r="P193" s="15">
        <v>7700000</v>
      </c>
      <c r="Q193" s="16">
        <f>IF(E186&lt;=10000000,B186-(B186*0.15+685000),IF(AND(E186&gt;10000000,E186&lt;=20000000),B186-(B186*0.15+585000),B186-(B186*0.15+485000)))</f>
        <v>-685000</v>
      </c>
      <c r="R193" s="8"/>
    </row>
    <row r="194" spans="1:18" ht="18.75" customHeight="1" x14ac:dyDescent="0.2">
      <c r="A194" s="8"/>
      <c r="B194" s="8"/>
      <c r="C194" s="8"/>
      <c r="D194" s="8"/>
      <c r="E194" s="8"/>
      <c r="F194" s="8"/>
      <c r="G194" s="8"/>
      <c r="H194" s="8"/>
      <c r="I194" s="8"/>
      <c r="J194" s="15">
        <v>1622000</v>
      </c>
      <c r="K194" s="16">
        <v>1072000</v>
      </c>
      <c r="L194" s="8"/>
      <c r="M194" s="15">
        <v>7700001</v>
      </c>
      <c r="N194" s="16">
        <f>IF(E186&lt;=10000000,B186-(B186*0.05+1455000),IF(AND(E186&gt;10000000,E186&lt;=20000000),B186-(B186*0.05+1355000),B186-(B186*0.05+1255000)))</f>
        <v>-1455000</v>
      </c>
      <c r="O194" s="8"/>
      <c r="P194" s="15">
        <v>7700001</v>
      </c>
      <c r="Q194" s="20">
        <f>IF(E186&lt;=10000000,B186-(B186*0.05+1455000),IF(AND(E186&gt;10000000,E186&lt;=20000000),B186-(B186*0.05+1355000),B186-(B186*0.05+1255000)))</f>
        <v>-1455000</v>
      </c>
      <c r="R194" s="8"/>
    </row>
    <row r="195" spans="1:18" ht="18.75" customHeight="1" x14ac:dyDescent="0.2">
      <c r="A195" s="8"/>
      <c r="B195" s="8"/>
      <c r="C195" s="8"/>
      <c r="D195" s="8"/>
      <c r="E195" s="8"/>
      <c r="F195" s="8"/>
      <c r="G195" s="8"/>
      <c r="H195" s="8"/>
      <c r="I195" s="8"/>
      <c r="J195" s="15">
        <v>1623999</v>
      </c>
      <c r="K195" s="16">
        <v>1072000</v>
      </c>
      <c r="L195" s="8"/>
      <c r="M195" s="15">
        <v>10000000</v>
      </c>
      <c r="N195" s="16">
        <f>IF(E186&lt;=10000000,B186-(B186*0.05+1455000),IF(AND(E186&gt;10000000,E186&lt;=20000000),B186-(B186*0.05+1355000),B186-(B186*0.05+1255000)))</f>
        <v>-1455000</v>
      </c>
      <c r="O195" s="8"/>
      <c r="P195" s="15">
        <v>10000000</v>
      </c>
      <c r="Q195" s="293">
        <f>IF(E186&lt;=10000000,B186-(B186*0.05+1455000),IF(AND(E186&gt;10000000,E186&lt;=20000000),B186-(B186*0.05+1355000),B186-(B186*0.05+1255000)))</f>
        <v>-1455000</v>
      </c>
      <c r="R195" s="8"/>
    </row>
    <row r="196" spans="1:18" ht="18.75" customHeight="1" thickBot="1" x14ac:dyDescent="0.25">
      <c r="A196" s="8"/>
      <c r="B196" s="8"/>
      <c r="C196" s="8"/>
      <c r="D196" s="8"/>
      <c r="E196" s="8"/>
      <c r="F196" s="8"/>
      <c r="G196" s="8"/>
      <c r="H196" s="8"/>
      <c r="I196" s="8"/>
      <c r="J196" s="15">
        <v>1624000</v>
      </c>
      <c r="K196" s="16">
        <v>1074000</v>
      </c>
      <c r="L196" s="8"/>
      <c r="M196" s="17">
        <v>10000001</v>
      </c>
      <c r="N196" s="18">
        <f>IF(E186&lt;=10000000,B186-1955000,IF(AND(E186&gt;10000000,E186&lt;=20000000),B186-1855000,B186-1755000))</f>
        <v>-1955000</v>
      </c>
      <c r="O196" s="8"/>
      <c r="P196" s="17">
        <v>10000001</v>
      </c>
      <c r="Q196" s="294">
        <f>IF(E186&lt;=10000000,B186-1955000,IF(AND(E186&gt;10000000,E186&lt;=20000000),B186-1855000,B186-1755000))</f>
        <v>-1955000</v>
      </c>
      <c r="R196" s="8"/>
    </row>
    <row r="197" spans="1:18" ht="18.75" customHeight="1" x14ac:dyDescent="0.2">
      <c r="A197" s="8"/>
      <c r="B197" s="8"/>
      <c r="C197" s="8"/>
      <c r="D197" s="8"/>
      <c r="E197" s="8"/>
      <c r="F197" s="8"/>
      <c r="G197" s="8"/>
      <c r="H197" s="8"/>
      <c r="I197" s="8"/>
      <c r="J197" s="15">
        <v>1627999</v>
      </c>
      <c r="K197" s="16">
        <v>1074000</v>
      </c>
      <c r="L197" s="8"/>
      <c r="O197" s="8"/>
      <c r="R197" s="8"/>
    </row>
    <row r="198" spans="1:18" ht="18.75" customHeight="1" x14ac:dyDescent="0.2">
      <c r="A198" s="8"/>
      <c r="B198" s="8"/>
      <c r="C198" s="8"/>
      <c r="D198" s="8"/>
      <c r="E198" s="8"/>
      <c r="F198" s="8"/>
      <c r="G198" s="8"/>
      <c r="H198" s="8"/>
      <c r="I198" s="8"/>
      <c r="J198" s="15">
        <v>1628000</v>
      </c>
      <c r="K198" s="16">
        <f>ROUNDDOWN($A$186/4,-3)*2.4+100000</f>
        <v>100000</v>
      </c>
      <c r="L198" s="8"/>
      <c r="O198" s="8"/>
      <c r="R198" s="8"/>
    </row>
    <row r="199" spans="1:18" ht="18.75" customHeight="1" x14ac:dyDescent="0.2">
      <c r="A199" s="8"/>
      <c r="B199" s="8"/>
      <c r="C199" s="8"/>
      <c r="D199" s="8"/>
      <c r="E199" s="8"/>
      <c r="F199" s="8"/>
      <c r="G199" s="8"/>
      <c r="H199" s="8"/>
      <c r="I199" s="8"/>
      <c r="J199" s="15">
        <v>1799999</v>
      </c>
      <c r="K199" s="16">
        <f>ROUNDDOWN($A$186/4,-3)*2.4+100000</f>
        <v>100000</v>
      </c>
      <c r="L199" s="8"/>
      <c r="O199" s="8"/>
      <c r="R199" s="8"/>
    </row>
    <row r="200" spans="1:18" ht="18.75" customHeight="1" x14ac:dyDescent="0.2">
      <c r="A200" s="8"/>
      <c r="B200" s="8"/>
      <c r="C200" s="8"/>
      <c r="D200" s="8"/>
      <c r="E200" s="8"/>
      <c r="F200" s="8"/>
      <c r="G200" s="8"/>
      <c r="H200" s="8"/>
      <c r="I200" s="8"/>
      <c r="J200" s="15">
        <v>1800000</v>
      </c>
      <c r="K200" s="16">
        <f>ROUNDDOWN($A$186/4,-3)*2.8-80000</f>
        <v>-80000</v>
      </c>
      <c r="L200" s="8"/>
      <c r="O200" s="8"/>
      <c r="R200" s="8"/>
    </row>
    <row r="201" spans="1:18" ht="18.75" customHeight="1" x14ac:dyDescent="0.2">
      <c r="A201" s="8"/>
      <c r="B201" s="8"/>
      <c r="C201" s="8"/>
      <c r="D201" s="8"/>
      <c r="E201" s="8"/>
      <c r="F201" s="8"/>
      <c r="G201" s="8"/>
      <c r="H201" s="8"/>
      <c r="I201" s="8"/>
      <c r="J201" s="15">
        <v>3599999</v>
      </c>
      <c r="K201" s="16">
        <f>ROUNDDOWN($A$186/4,-3)*2.8-80000</f>
        <v>-80000</v>
      </c>
      <c r="L201" s="8"/>
      <c r="O201" s="8"/>
      <c r="R201" s="8"/>
    </row>
    <row r="202" spans="1:18" ht="18.75" customHeight="1" x14ac:dyDescent="0.2">
      <c r="A202" s="8"/>
      <c r="B202" s="8"/>
      <c r="C202" s="8"/>
      <c r="D202" s="8"/>
      <c r="E202" s="8"/>
      <c r="F202" s="8"/>
      <c r="G202" s="8"/>
      <c r="H202" s="8"/>
      <c r="I202" s="8"/>
      <c r="J202" s="15">
        <v>3600000</v>
      </c>
      <c r="K202" s="16">
        <f>ROUNDDOWN($A$186/4,-3)*3.2-440000</f>
        <v>-440000</v>
      </c>
      <c r="L202" s="8"/>
      <c r="O202" s="8"/>
      <c r="R202" s="8"/>
    </row>
    <row r="203" spans="1:18" ht="18.75" customHeight="1" x14ac:dyDescent="0.2">
      <c r="A203" s="8"/>
      <c r="B203" s="8"/>
      <c r="C203" s="8"/>
      <c r="D203" s="8"/>
      <c r="E203" s="8"/>
      <c r="F203" s="8"/>
      <c r="G203" s="8"/>
      <c r="H203" s="8"/>
      <c r="I203" s="8"/>
      <c r="J203" s="15">
        <v>6599999</v>
      </c>
      <c r="K203" s="16">
        <f>ROUNDDOWN($A$186/4,-3)*3.2-440000</f>
        <v>-440000</v>
      </c>
      <c r="L203" s="8"/>
      <c r="O203" s="8"/>
      <c r="R203" s="8"/>
    </row>
    <row r="204" spans="1:18" ht="18.75" customHeight="1" x14ac:dyDescent="0.2">
      <c r="A204" s="8"/>
      <c r="B204" s="8"/>
      <c r="C204" s="8"/>
      <c r="D204" s="8"/>
      <c r="E204" s="8"/>
      <c r="F204" s="8"/>
      <c r="G204" s="8"/>
      <c r="H204" s="8"/>
      <c r="I204" s="8"/>
      <c r="J204" s="15">
        <v>6600000</v>
      </c>
      <c r="K204" s="16">
        <f>$A$186*0.9-1100000</f>
        <v>-1100000</v>
      </c>
      <c r="L204" s="8"/>
      <c r="O204" s="8"/>
      <c r="R204" s="8"/>
    </row>
    <row r="205" spans="1:18" ht="18.75" customHeight="1" thickBot="1" x14ac:dyDescent="0.25">
      <c r="A205" s="8"/>
      <c r="B205" s="8"/>
      <c r="C205" s="8"/>
      <c r="D205" s="8"/>
      <c r="E205" s="8"/>
      <c r="F205" s="8"/>
      <c r="G205" s="8"/>
      <c r="H205" s="8"/>
      <c r="I205" s="8"/>
      <c r="J205" s="19">
        <v>8499999</v>
      </c>
      <c r="K205" s="16">
        <f>$A$186*0.9-1100000</f>
        <v>-1100000</v>
      </c>
      <c r="L205" s="8"/>
      <c r="O205" s="8"/>
      <c r="R205" s="8"/>
    </row>
    <row r="206" spans="1:18" ht="18.75" customHeight="1" thickBot="1" x14ac:dyDescent="0.25">
      <c r="A206" s="8"/>
      <c r="B206" s="8"/>
      <c r="C206" s="8"/>
      <c r="D206" s="8"/>
      <c r="E206" s="8"/>
      <c r="F206" s="8"/>
      <c r="G206" s="8"/>
      <c r="H206" s="8"/>
      <c r="I206" s="8"/>
      <c r="J206" s="235">
        <v>8500000</v>
      </c>
      <c r="K206" s="234">
        <f>A186-1950000</f>
        <v>-1950000</v>
      </c>
      <c r="L206" s="8"/>
      <c r="O206" s="8"/>
      <c r="R206" s="8"/>
    </row>
    <row r="207" spans="1:18" ht="18.75" customHeight="1" x14ac:dyDescent="0.2">
      <c r="A207" s="8"/>
      <c r="B207" s="8"/>
      <c r="C207" s="8"/>
      <c r="D207" s="8"/>
      <c r="E207" s="8"/>
      <c r="F207" s="8"/>
      <c r="G207" s="8"/>
      <c r="H207" s="8"/>
      <c r="I207" s="8"/>
      <c r="J207" s="229" t="b">
        <f>IF(税率登録シート!$D$2&lt;=2016,14999999,IF(税率登録シート!$D$2=2017,11999999,IF(税率登録シート!$D$2=2018,"")))</f>
        <v>0</v>
      </c>
      <c r="K207" s="230" t="str">
        <f>IF(税率登録シート!$D$2&lt;=2017,A186*0.95-1700000,"")</f>
        <v/>
      </c>
      <c r="L207" s="8"/>
      <c r="O207" s="8"/>
      <c r="R207" s="8"/>
    </row>
    <row r="208" spans="1:18" ht="18.75" customHeight="1" thickBot="1" x14ac:dyDescent="0.25">
      <c r="A208" s="8"/>
      <c r="B208" s="8"/>
      <c r="C208" s="8"/>
      <c r="D208" s="8"/>
      <c r="E208" s="8"/>
      <c r="F208" s="8"/>
      <c r="G208" s="8"/>
      <c r="H208" s="8"/>
      <c r="I208" s="8"/>
      <c r="J208" s="231" t="b">
        <f>IF(税率登録シート!$D$2&lt;=2016,15000000,IF(税率登録シート!$D$2=2017,12000000,IF(税率登録シート!$D$2=2018,"")))</f>
        <v>0</v>
      </c>
      <c r="K208" s="232" t="b">
        <f>IF(税率登録シート!$D$2&lt;=2016,A186-2450000,IF(税率登録シート!$D$2=2017,A186-2300000,IF(税率登録シート!$D$2=2018,"")))</f>
        <v>0</v>
      </c>
      <c r="L208" s="8"/>
      <c r="O208" s="8"/>
      <c r="R208" s="8"/>
    </row>
    <row r="209" spans="1:18" ht="18.75" customHeight="1" x14ac:dyDescent="0.15"/>
    <row r="210" spans="1:18" ht="18.75" customHeight="1" thickBot="1" x14ac:dyDescent="0.25">
      <c r="A210" s="59" t="s">
        <v>48</v>
      </c>
      <c r="B210" s="1"/>
      <c r="M210" s="787" t="str">
        <f>$M$2</f>
        <v>昭和35年１月１日 以前</v>
      </c>
      <c r="N210" s="787"/>
      <c r="P210" s="787" t="str">
        <f>$P$2</f>
        <v>昭和35年１月２日 以降</v>
      </c>
      <c r="Q210" s="787"/>
    </row>
    <row r="211" spans="1:18" ht="18.75" customHeight="1" thickBot="1" x14ac:dyDescent="0.2">
      <c r="A211" s="11" t="s">
        <v>12</v>
      </c>
      <c r="B211" s="11" t="s">
        <v>4</v>
      </c>
      <c r="C211" s="23" t="s">
        <v>13</v>
      </c>
      <c r="D211" s="28" t="s">
        <v>14</v>
      </c>
      <c r="E211" s="31" t="s">
        <v>29</v>
      </c>
      <c r="F211" s="33" t="s">
        <v>2</v>
      </c>
      <c r="G211" s="121"/>
      <c r="H211" s="121"/>
      <c r="I211" s="2"/>
      <c r="J211" s="3" t="s">
        <v>12</v>
      </c>
      <c r="K211" s="4" t="s">
        <v>13</v>
      </c>
      <c r="M211" s="3" t="s">
        <v>4</v>
      </c>
      <c r="N211" s="4" t="s">
        <v>14</v>
      </c>
      <c r="P211" s="3" t="s">
        <v>4</v>
      </c>
      <c r="Q211" s="4" t="s">
        <v>14</v>
      </c>
    </row>
    <row r="212" spans="1:18" ht="18.75" customHeight="1" thickTop="1" thickBot="1" x14ac:dyDescent="0.25">
      <c r="A212" s="5">
        <f>入力試算シート!I48</f>
        <v>0</v>
      </c>
      <c r="B212" s="5">
        <f>入力試算シート!N48</f>
        <v>0</v>
      </c>
      <c r="C212" s="29">
        <f>IF(入力試算シート!Z48="無し",IF(VLOOKUP($A212,$J212:$K234,2,TRUE)-IF($D212&gt;=100000,100000,$D212)&lt;0,0,VLOOKUP($A212,$J212:$K234,2,TRUE)-IF($D212&gt;=100000,100000,$D212)),速算表!K232-IF($A212&lt;10000000,ROUNDUP(($A212-8500000)*0.1,0),150000)-IF($D212&gt;=100000,100000,$D212))</f>
        <v>0</v>
      </c>
      <c r="D212" s="30">
        <f>IF(入力試算シート!S48="以前",VLOOKUP($B$212,$M$212:$N$222,2,TRUE),VLOOKUP($B$212,$P$212:$Q$222,2,TRUE))</f>
        <v>0</v>
      </c>
      <c r="E212" s="32">
        <f>入力試算シート!U48</f>
        <v>0</v>
      </c>
      <c r="F212" s="42">
        <f>IF(SUM($C212:$E212)&lt;=0,0,SUM($C212:$E212))</f>
        <v>0</v>
      </c>
      <c r="G212" s="122"/>
      <c r="H212" s="122"/>
      <c r="I212" s="5"/>
      <c r="J212" s="6">
        <v>0</v>
      </c>
      <c r="K212" s="7">
        <v>0</v>
      </c>
      <c r="L212" s="8"/>
      <c r="M212" s="9">
        <v>0</v>
      </c>
      <c r="N212" s="10">
        <v>0</v>
      </c>
      <c r="O212" s="8"/>
      <c r="P212" s="9">
        <v>0</v>
      </c>
      <c r="Q212" s="10">
        <v>0</v>
      </c>
      <c r="R212" s="8"/>
    </row>
    <row r="213" spans="1:18" ht="18.75" customHeight="1" thickBot="1" x14ac:dyDescent="0.25">
      <c r="A213" s="5"/>
      <c r="B213" s="5" t="s">
        <v>205</v>
      </c>
      <c r="C213" s="320">
        <f>IF(入力試算シート!Z48="無し",IF(VLOOKUP($A212,$J212:$K234,2,TRUE)-IF($D213&gt;=100000,100000,$D213)&lt;0,0,VLOOKUP($A212,$J212:$K234,2,TRUE)-IF($D213&gt;=100000,100000,$D213)),速算表!K232-IF($A212&lt;10000000,ROUNDUP(($A212-8500000)*0.1,0),150000)-IF($D213&gt;=100000,100000,$D213))</f>
        <v>0</v>
      </c>
      <c r="D213" s="321">
        <f>IF($D212=0,0,IF(AND(入力試算シート!S230="以前",$B212&lt;=1250000),$B212-1100000-$N$214,IF(入力試算シート!S230="以降",$D212,$D212-150000)))</f>
        <v>0</v>
      </c>
      <c r="E213" s="322">
        <f>$E212</f>
        <v>0</v>
      </c>
      <c r="F213" s="323">
        <f>IF(SUM($C213:$E213)&lt;=0,0,SUM($C213:$E213))</f>
        <v>0</v>
      </c>
      <c r="G213" s="12"/>
      <c r="H213" s="12"/>
      <c r="I213" s="12"/>
      <c r="J213" s="13">
        <v>550999</v>
      </c>
      <c r="K213" s="14">
        <v>0</v>
      </c>
      <c r="L213" s="8"/>
      <c r="M213" s="15">
        <v>1100000</v>
      </c>
      <c r="N213" s="16">
        <v>0</v>
      </c>
      <c r="O213" s="8"/>
      <c r="P213" s="15">
        <v>600000</v>
      </c>
      <c r="Q213" s="16">
        <v>0</v>
      </c>
      <c r="R213" s="8"/>
    </row>
    <row r="214" spans="1:18" ht="18.75" customHeight="1" x14ac:dyDescent="0.2">
      <c r="A214" s="5"/>
      <c r="B214" s="5"/>
      <c r="C214" s="5"/>
      <c r="D214" s="8"/>
      <c r="E214" s="8"/>
      <c r="F214" s="8"/>
      <c r="G214" s="8"/>
      <c r="H214" s="8"/>
      <c r="I214" s="8"/>
      <c r="J214" s="13">
        <v>551000</v>
      </c>
      <c r="K214" s="14">
        <f>A212-550000</f>
        <v>-550000</v>
      </c>
      <c r="L214" s="8"/>
      <c r="M214" s="15">
        <v>1100001</v>
      </c>
      <c r="N214" s="16">
        <f>IF(E212&lt;=10000000,B212-1100000,IF(AND(E212&gt;10000000,E212&lt;=20000000),B212-1000000,B212-900000))</f>
        <v>-1100000</v>
      </c>
      <c r="O214" s="8"/>
      <c r="P214" s="15">
        <v>600001</v>
      </c>
      <c r="Q214" s="16">
        <f>IF(E212&lt;=10000000,B212-600000,IF(AND(E212&gt;10000000,E212&lt;=20000000),B212-500000,B212-400000))</f>
        <v>-600000</v>
      </c>
      <c r="R214" s="8"/>
    </row>
    <row r="215" spans="1:18" ht="18.75" customHeight="1" x14ac:dyDescent="0.2">
      <c r="A215" s="5"/>
      <c r="B215" s="5"/>
      <c r="C215" s="5"/>
      <c r="D215" s="8"/>
      <c r="E215" s="8"/>
      <c r="F215" s="8"/>
      <c r="G215" s="8"/>
      <c r="H215" s="8"/>
      <c r="I215" s="8"/>
      <c r="J215" s="15">
        <v>1618999</v>
      </c>
      <c r="K215" s="16">
        <f>A212-550000</f>
        <v>-550000</v>
      </c>
      <c r="L215" s="8"/>
      <c r="M215" s="15">
        <v>3300000</v>
      </c>
      <c r="N215" s="16">
        <f>IF(E212&lt;=10000000,B212-1100000,IF(AND(E212&gt;10000000,E212&lt;=20000000),B212-1000000,B212-900000))</f>
        <v>-1100000</v>
      </c>
      <c r="O215" s="8"/>
      <c r="P215" s="15">
        <v>1300000</v>
      </c>
      <c r="Q215" s="16">
        <f>IF(E212&lt;=10000000,B212-600000,IF(AND(E212&gt;10000000,E212&lt;=20000000),B212-500000,B212-400000))</f>
        <v>-600000</v>
      </c>
      <c r="R215" s="8"/>
    </row>
    <row r="216" spans="1:18" ht="18.75" customHeight="1" x14ac:dyDescent="0.2">
      <c r="A216" s="5"/>
      <c r="B216" s="5"/>
      <c r="C216" s="5"/>
      <c r="D216" s="8"/>
      <c r="E216" s="8"/>
      <c r="F216" s="8"/>
      <c r="G216" s="8"/>
      <c r="H216" s="8"/>
      <c r="I216" s="8"/>
      <c r="J216" s="15">
        <v>1619000</v>
      </c>
      <c r="K216" s="16">
        <v>1069000</v>
      </c>
      <c r="L216" s="8"/>
      <c r="M216" s="15">
        <v>3300001</v>
      </c>
      <c r="N216" s="16">
        <f>IF(E212&lt;=10000000,B212-(B212*0.25+275000),IF(AND(E212&gt;10000000,E212&lt;=20000000),B212-(B212*0.25+175000),B212-(B212*0.25+75000)))</f>
        <v>-275000</v>
      </c>
      <c r="O216" s="8"/>
      <c r="P216" s="15">
        <v>1300001</v>
      </c>
      <c r="Q216" s="16">
        <f>IF(E212&lt;=10000000,B212-(B212*0.25+275000),IF(AND(E212&gt;10000000,E212&lt;=20000000),B212-(B212*0.25+175000),B212-(B212*0.25+75000)))</f>
        <v>-275000</v>
      </c>
      <c r="R216" s="8"/>
    </row>
    <row r="217" spans="1:18" ht="18.75" customHeight="1" x14ac:dyDescent="0.2">
      <c r="A217" s="5"/>
      <c r="B217" s="5"/>
      <c r="C217" s="5"/>
      <c r="D217" s="8"/>
      <c r="E217" s="8"/>
      <c r="F217" s="8"/>
      <c r="G217" s="8"/>
      <c r="H217" s="8"/>
      <c r="I217" s="8"/>
      <c r="J217" s="15">
        <v>1619999</v>
      </c>
      <c r="K217" s="16">
        <v>1069000</v>
      </c>
      <c r="L217" s="8"/>
      <c r="M217" s="15">
        <v>4100000</v>
      </c>
      <c r="N217" s="16">
        <f>IF(E212&lt;=10000000,B212-(B212*0.25+275000),IF(AND(E212&gt;10000000,E212&lt;=20000000),B212-(B212*0.25+175000),B212-(B212*0.25+75000)))</f>
        <v>-275000</v>
      </c>
      <c r="O217" s="8"/>
      <c r="P217" s="15">
        <v>4100000</v>
      </c>
      <c r="Q217" s="16">
        <f>IF(E212&lt;=10000000,B212-(B212*0.25+275000),IF(AND(E212&gt;10000000,E212&lt;=20000000),B212-(B212*0.25+175000),B212-(B212*0.25+75000)))</f>
        <v>-275000</v>
      </c>
      <c r="R217" s="8"/>
    </row>
    <row r="218" spans="1:18" ht="18.75" customHeight="1" x14ac:dyDescent="0.2">
      <c r="A218" s="5"/>
      <c r="B218" s="5"/>
      <c r="C218" s="5"/>
      <c r="D218" s="8"/>
      <c r="E218" s="8"/>
      <c r="F218" s="8"/>
      <c r="G218" s="8"/>
      <c r="H218" s="8"/>
      <c r="I218" s="8"/>
      <c r="J218" s="15">
        <v>1620000</v>
      </c>
      <c r="K218" s="16">
        <v>1070000</v>
      </c>
      <c r="L218" s="8"/>
      <c r="M218" s="15">
        <v>4100001</v>
      </c>
      <c r="N218" s="16">
        <f>IF(E212&lt;=10000000,B212-(B212*0.15+685000),IF(AND(E212&gt;10000000,E212&lt;=20000000),B212-(B212*0.15+585000),B212-(B212*0.15+485000)))</f>
        <v>-685000</v>
      </c>
      <c r="O218" s="8"/>
      <c r="P218" s="15">
        <v>4100001</v>
      </c>
      <c r="Q218" s="16">
        <f>IF(E212&lt;=10000000,B212-(B212*0.15+685000),IF(AND(E212&gt;10000000,E212&lt;=20000000),B212-(B212*0.15+585000),B212-(B212*0.15+485000)))</f>
        <v>-685000</v>
      </c>
      <c r="R218" s="8"/>
    </row>
    <row r="219" spans="1:18" ht="18.75" customHeight="1" x14ac:dyDescent="0.2">
      <c r="A219" s="8"/>
      <c r="B219" s="8"/>
      <c r="C219" s="8"/>
      <c r="D219" s="8"/>
      <c r="E219" s="8"/>
      <c r="F219" s="8"/>
      <c r="G219" s="8"/>
      <c r="H219" s="8"/>
      <c r="I219" s="8"/>
      <c r="J219" s="15">
        <v>1621999</v>
      </c>
      <c r="K219" s="16">
        <v>1070000</v>
      </c>
      <c r="L219" s="8"/>
      <c r="M219" s="15">
        <v>7700000</v>
      </c>
      <c r="N219" s="16">
        <f>IF(E212&lt;=10000000,B212-(B212*0.15+685000),IF(AND(E212&gt;10000000,E212&lt;=20000000),B212-(B212*0.15+585000),B212-(B212*0.15+485000)))</f>
        <v>-685000</v>
      </c>
      <c r="O219" s="8"/>
      <c r="P219" s="15">
        <v>7700000</v>
      </c>
      <c r="Q219" s="16">
        <f>IF(E212&lt;=10000000,B212-(B212*0.15+685000),IF(AND(E212&gt;10000000,E212&lt;=20000000),B212-(B212*0.15+585000),B212-(B212*0.15+485000)))</f>
        <v>-685000</v>
      </c>
      <c r="R219" s="8"/>
    </row>
    <row r="220" spans="1:18" ht="18.75" customHeight="1" x14ac:dyDescent="0.2">
      <c r="A220" s="8"/>
      <c r="B220" s="8"/>
      <c r="C220" s="8"/>
      <c r="D220" s="8"/>
      <c r="E220" s="8"/>
      <c r="F220" s="8"/>
      <c r="G220" s="8"/>
      <c r="H220" s="8"/>
      <c r="I220" s="8"/>
      <c r="J220" s="15">
        <v>1622000</v>
      </c>
      <c r="K220" s="16">
        <v>1072000</v>
      </c>
      <c r="L220" s="8"/>
      <c r="M220" s="15">
        <v>7700001</v>
      </c>
      <c r="N220" s="16">
        <f>IF(E212&lt;=10000000,B212-(B212*0.05+1455000),IF(AND(E212&gt;10000000,E212&lt;=20000000),B212-(B212*0.05+1355000),B212-(B212*0.05+1255000)))</f>
        <v>-1455000</v>
      </c>
      <c r="O220" s="8"/>
      <c r="P220" s="15">
        <v>7700001</v>
      </c>
      <c r="Q220" s="20">
        <f>IF(E212&lt;=10000000,B212-(B212*0.05+1455000),IF(AND(E212&gt;10000000,E212&lt;=20000000),B212-(B212*0.05+1355000),B212-(B212*0.05+1255000)))</f>
        <v>-1455000</v>
      </c>
      <c r="R220" s="8"/>
    </row>
    <row r="221" spans="1:18" ht="18.75" customHeight="1" x14ac:dyDescent="0.2">
      <c r="A221" s="8"/>
      <c r="B221" s="8"/>
      <c r="C221" s="8"/>
      <c r="D221" s="8"/>
      <c r="E221" s="8"/>
      <c r="F221" s="8"/>
      <c r="G221" s="8"/>
      <c r="H221" s="8"/>
      <c r="I221" s="8"/>
      <c r="J221" s="15">
        <v>1623999</v>
      </c>
      <c r="K221" s="16">
        <v>1072000</v>
      </c>
      <c r="L221" s="8"/>
      <c r="M221" s="15">
        <v>10000000</v>
      </c>
      <c r="N221" s="16">
        <f>IF(E212&lt;=10000000,B212-(B212*0.05+1455000),IF(AND(E212&gt;10000000,E212&lt;=20000000),B212-(B212*0.05+1355000),B212-(B212*0.05+1255000)))</f>
        <v>-1455000</v>
      </c>
      <c r="O221" s="8"/>
      <c r="P221" s="15">
        <v>10000000</v>
      </c>
      <c r="Q221" s="293">
        <f>IF(E212&lt;=10000000,B212-(B212*0.05+1455000),IF(AND(E212&gt;10000000,E212&lt;=20000000),B212-(B212*0.05+1355000),B212-(B212*0.05+1255000)))</f>
        <v>-1455000</v>
      </c>
      <c r="R221" s="8"/>
    </row>
    <row r="222" spans="1:18" ht="18.75" customHeight="1" thickBot="1" x14ac:dyDescent="0.25">
      <c r="A222" s="8"/>
      <c r="B222" s="8"/>
      <c r="C222" s="8"/>
      <c r="D222" s="8"/>
      <c r="E222" s="8"/>
      <c r="F222" s="8"/>
      <c r="G222" s="8"/>
      <c r="H222" s="8"/>
      <c r="I222" s="8"/>
      <c r="J222" s="15">
        <v>1624000</v>
      </c>
      <c r="K222" s="16">
        <v>1074000</v>
      </c>
      <c r="L222" s="8"/>
      <c r="M222" s="17">
        <v>10000001</v>
      </c>
      <c r="N222" s="18">
        <f>IF(E212&lt;=10000000,B212-1955000,IF(AND(E212&gt;10000000,E212&lt;=20000000),B212-1855000,B212-1755000))</f>
        <v>-1955000</v>
      </c>
      <c r="O222" s="8"/>
      <c r="P222" s="17">
        <v>10000001</v>
      </c>
      <c r="Q222" s="294">
        <f>IF(E212&lt;=10000000,B212-1955000,IF(AND(E212&gt;10000000,E212&lt;=20000000),B212-1855000,B212-1755000))</f>
        <v>-1955000</v>
      </c>
      <c r="R222" s="8"/>
    </row>
    <row r="223" spans="1:18" ht="18.75" customHeight="1" x14ac:dyDescent="0.2">
      <c r="A223" s="8"/>
      <c r="B223" s="8"/>
      <c r="C223" s="8"/>
      <c r="D223" s="8"/>
      <c r="E223" s="8"/>
      <c r="F223" s="8"/>
      <c r="G223" s="8"/>
      <c r="H223" s="8"/>
      <c r="I223" s="8"/>
      <c r="J223" s="15">
        <v>1627999</v>
      </c>
      <c r="K223" s="16">
        <v>1074000</v>
      </c>
      <c r="L223" s="8"/>
      <c r="O223" s="8"/>
      <c r="R223" s="8"/>
    </row>
    <row r="224" spans="1:18" ht="18.75" customHeight="1" x14ac:dyDescent="0.2">
      <c r="A224" s="8"/>
      <c r="B224" s="8"/>
      <c r="C224" s="8"/>
      <c r="D224" s="8"/>
      <c r="E224" s="8"/>
      <c r="F224" s="8"/>
      <c r="G224" s="8"/>
      <c r="H224" s="8"/>
      <c r="I224" s="8"/>
      <c r="J224" s="15">
        <v>1628000</v>
      </c>
      <c r="K224" s="16">
        <f>ROUNDDOWN($A$212/4,-3)*2.4+100000</f>
        <v>100000</v>
      </c>
      <c r="L224" s="8"/>
      <c r="O224" s="8"/>
      <c r="R224" s="8"/>
    </row>
    <row r="225" spans="1:18" ht="18.75" customHeight="1" x14ac:dyDescent="0.2">
      <c r="A225" s="8"/>
      <c r="B225" s="8"/>
      <c r="C225" s="8"/>
      <c r="D225" s="8"/>
      <c r="E225" s="8"/>
      <c r="F225" s="8"/>
      <c r="G225" s="8"/>
      <c r="H225" s="8"/>
      <c r="I225" s="8"/>
      <c r="J225" s="15">
        <v>1799999</v>
      </c>
      <c r="K225" s="16">
        <f>ROUNDDOWN($A$212/4,-3)*2.4+100000</f>
        <v>100000</v>
      </c>
      <c r="L225" s="8"/>
      <c r="O225" s="8"/>
      <c r="R225" s="8"/>
    </row>
    <row r="226" spans="1:18" ht="18.75" customHeight="1" x14ac:dyDescent="0.2">
      <c r="A226" s="8"/>
      <c r="B226" s="8"/>
      <c r="C226" s="8"/>
      <c r="D226" s="8"/>
      <c r="E226" s="8"/>
      <c r="F226" s="8"/>
      <c r="G226" s="8"/>
      <c r="H226" s="8"/>
      <c r="I226" s="8"/>
      <c r="J226" s="15">
        <v>1800000</v>
      </c>
      <c r="K226" s="16">
        <f>ROUNDDOWN($A$212/4,-3)*2.8-80000</f>
        <v>-80000</v>
      </c>
      <c r="L226" s="8"/>
      <c r="O226" s="8"/>
      <c r="R226" s="8"/>
    </row>
    <row r="227" spans="1:18" ht="18.75" customHeight="1" x14ac:dyDescent="0.2">
      <c r="A227" s="8"/>
      <c r="B227" s="8"/>
      <c r="C227" s="8"/>
      <c r="D227" s="8"/>
      <c r="E227" s="8"/>
      <c r="F227" s="8"/>
      <c r="G227" s="8"/>
      <c r="H227" s="8"/>
      <c r="I227" s="8"/>
      <c r="J227" s="15">
        <v>3599999</v>
      </c>
      <c r="K227" s="16">
        <f>ROUNDDOWN($A$212/4,-3)*2.8-80000</f>
        <v>-80000</v>
      </c>
      <c r="L227" s="8"/>
      <c r="O227" s="8"/>
      <c r="R227" s="8"/>
    </row>
    <row r="228" spans="1:18" ht="18.75" customHeight="1" x14ac:dyDescent="0.2">
      <c r="A228" s="8"/>
      <c r="B228" s="8"/>
      <c r="C228" s="8"/>
      <c r="D228" s="8"/>
      <c r="E228" s="8"/>
      <c r="F228" s="8"/>
      <c r="G228" s="8"/>
      <c r="H228" s="8"/>
      <c r="I228" s="8"/>
      <c r="J228" s="15">
        <v>3600000</v>
      </c>
      <c r="K228" s="16">
        <f>ROUNDDOWN($A$212/4,-3)*3.2-440000</f>
        <v>-440000</v>
      </c>
      <c r="L228" s="8"/>
      <c r="O228" s="8"/>
      <c r="R228" s="8"/>
    </row>
    <row r="229" spans="1:18" ht="18.75" customHeight="1" x14ac:dyDescent="0.2">
      <c r="A229" s="8"/>
      <c r="B229" s="8"/>
      <c r="C229" s="8"/>
      <c r="D229" s="8"/>
      <c r="E229" s="8"/>
      <c r="F229" s="8"/>
      <c r="G229" s="8"/>
      <c r="H229" s="8"/>
      <c r="I229" s="8"/>
      <c r="J229" s="15">
        <v>6599999</v>
      </c>
      <c r="K229" s="16">
        <f>ROUNDDOWN($A$212/4,-3)*3.2-440000</f>
        <v>-440000</v>
      </c>
      <c r="L229" s="8"/>
      <c r="O229" s="8"/>
      <c r="R229" s="8"/>
    </row>
    <row r="230" spans="1:18" ht="18.75" customHeight="1" x14ac:dyDescent="0.2">
      <c r="A230" s="8"/>
      <c r="B230" s="8"/>
      <c r="C230" s="8"/>
      <c r="D230" s="8"/>
      <c r="E230" s="8"/>
      <c r="F230" s="8"/>
      <c r="G230" s="8"/>
      <c r="H230" s="8"/>
      <c r="I230" s="8"/>
      <c r="J230" s="15">
        <v>6600000</v>
      </c>
      <c r="K230" s="16">
        <f>$A$212*0.9-1100000</f>
        <v>-1100000</v>
      </c>
      <c r="L230" s="8"/>
      <c r="O230" s="8"/>
      <c r="R230" s="8"/>
    </row>
    <row r="231" spans="1:18" ht="18.75" customHeight="1" thickBot="1" x14ac:dyDescent="0.25">
      <c r="A231" s="8"/>
      <c r="B231" s="8"/>
      <c r="C231" s="8"/>
      <c r="D231" s="8"/>
      <c r="E231" s="8"/>
      <c r="F231" s="8"/>
      <c r="G231" s="8"/>
      <c r="H231" s="8"/>
      <c r="I231" s="8"/>
      <c r="J231" s="19">
        <v>8499999</v>
      </c>
      <c r="K231" s="16">
        <f>$A$212*0.9-1100000</f>
        <v>-1100000</v>
      </c>
      <c r="L231" s="8"/>
      <c r="O231" s="8"/>
      <c r="R231" s="8"/>
    </row>
    <row r="232" spans="1:18" ht="18.75" customHeight="1" thickBot="1" x14ac:dyDescent="0.25">
      <c r="A232" s="8"/>
      <c r="B232" s="8"/>
      <c r="C232" s="8"/>
      <c r="D232" s="8"/>
      <c r="E232" s="8"/>
      <c r="F232" s="8"/>
      <c r="G232" s="8"/>
      <c r="H232" s="8"/>
      <c r="I232" s="8"/>
      <c r="J232" s="235">
        <v>8500000</v>
      </c>
      <c r="K232" s="234">
        <f>A212-1950000</f>
        <v>-1950000</v>
      </c>
      <c r="L232" s="8"/>
      <c r="O232" s="8"/>
      <c r="R232" s="8"/>
    </row>
    <row r="233" spans="1:18" ht="18.75" customHeight="1" x14ac:dyDescent="0.2">
      <c r="A233" s="8"/>
      <c r="B233" s="8"/>
      <c r="C233" s="8"/>
      <c r="D233" s="8"/>
      <c r="E233" s="8"/>
      <c r="F233" s="8"/>
      <c r="G233" s="8"/>
      <c r="H233" s="8"/>
      <c r="I233" s="8"/>
      <c r="J233" s="229" t="b">
        <f>IF(税率登録シート!$D$2&lt;=2016,14999999,IF(税率登録シート!$D$2=2017,11999999,IF(税率登録シート!$D$2=2018,"")))</f>
        <v>0</v>
      </c>
      <c r="K233" s="230" t="str">
        <f>IF(税率登録シート!$D$2&lt;=2017,A212*0.95-1700000,"")</f>
        <v/>
      </c>
      <c r="L233" s="8"/>
      <c r="O233" s="8"/>
      <c r="R233" s="8"/>
    </row>
    <row r="234" spans="1:18" ht="18.75" customHeight="1" thickBot="1" x14ac:dyDescent="0.25">
      <c r="A234" s="8"/>
      <c r="B234" s="8"/>
      <c r="C234" s="8"/>
      <c r="D234" s="8"/>
      <c r="E234" s="8"/>
      <c r="F234" s="8"/>
      <c r="G234" s="8"/>
      <c r="H234" s="8"/>
      <c r="I234" s="8"/>
      <c r="J234" s="231" t="b">
        <f>IF(税率登録シート!$D$2&lt;=2016,15000000,IF(税率登録シート!$D$2=2017,12000000,IF(税率登録シート!$D$2=2018,"")))</f>
        <v>0</v>
      </c>
      <c r="K234" s="232" t="b">
        <f>IF(税率登録シート!$D$2&lt;=2016,A212-2450000,IF(税率登録シート!$D$2=2017,A212-2300000,IF(税率登録シート!$D$2=2018,"")))</f>
        <v>0</v>
      </c>
      <c r="L234" s="8"/>
      <c r="O234" s="8"/>
      <c r="R234" s="8"/>
    </row>
    <row r="235" spans="1:18" ht="18.75" customHeight="1" x14ac:dyDescent="0.15"/>
    <row r="236" spans="1:18" ht="18.75" customHeight="1" thickBot="1" x14ac:dyDescent="0.25">
      <c r="A236" s="59" t="s">
        <v>49</v>
      </c>
      <c r="B236" s="1"/>
      <c r="M236" s="787" t="str">
        <f>$M$2</f>
        <v>昭和35年１月１日 以前</v>
      </c>
      <c r="N236" s="787"/>
      <c r="P236" s="787" t="str">
        <f>$P$2</f>
        <v>昭和35年１月２日 以降</v>
      </c>
      <c r="Q236" s="787"/>
    </row>
    <row r="237" spans="1:18" ht="18.75" customHeight="1" thickBot="1" x14ac:dyDescent="0.2">
      <c r="A237" s="11" t="s">
        <v>12</v>
      </c>
      <c r="B237" s="11" t="s">
        <v>4</v>
      </c>
      <c r="C237" s="23" t="s">
        <v>13</v>
      </c>
      <c r="D237" s="28" t="s">
        <v>14</v>
      </c>
      <c r="E237" s="31" t="s">
        <v>29</v>
      </c>
      <c r="F237" s="33" t="s">
        <v>2</v>
      </c>
      <c r="G237" s="121"/>
      <c r="H237" s="121"/>
      <c r="I237" s="2"/>
      <c r="J237" s="3" t="s">
        <v>12</v>
      </c>
      <c r="K237" s="4" t="s">
        <v>13</v>
      </c>
      <c r="M237" s="3" t="s">
        <v>4</v>
      </c>
      <c r="N237" s="4" t="s">
        <v>14</v>
      </c>
      <c r="P237" s="3" t="s">
        <v>4</v>
      </c>
      <c r="Q237" s="4" t="s">
        <v>14</v>
      </c>
    </row>
    <row r="238" spans="1:18" ht="18.75" customHeight="1" thickTop="1" thickBot="1" x14ac:dyDescent="0.25">
      <c r="A238" s="5">
        <f>入力試算シート!I49</f>
        <v>0</v>
      </c>
      <c r="B238" s="5">
        <f>入力試算シート!N49</f>
        <v>0</v>
      </c>
      <c r="C238" s="29">
        <f>IF(入力試算シート!Z49="無し",IF(VLOOKUP($A238,$J238:$K260,2,TRUE)-IF($D238&gt;=100000,100000,$D238)&lt;0,0,VLOOKUP($A238,$J238:$K260,2,TRUE)-IF($D238&gt;=100000,100000,$D238)),速算表!K258-IF($A238&lt;10000000,ROUNDUP(($A238-8500000)*0.1,0),150000)-IF($D238&gt;=100000,100000,$D238))</f>
        <v>0</v>
      </c>
      <c r="D238" s="30">
        <f>IF(入力試算シート!S49="以前",VLOOKUP($B$238,$M$238:$N$248,2,TRUE),VLOOKUP($B$238,$P$238:$Q$248,2,TRUE))</f>
        <v>0</v>
      </c>
      <c r="E238" s="32">
        <f>入力試算シート!U49</f>
        <v>0</v>
      </c>
      <c r="F238" s="42">
        <f>IF(SUM($C238:$E238)&lt;=0,0,SUM($C238:$E238))</f>
        <v>0</v>
      </c>
      <c r="G238" s="122"/>
      <c r="H238" s="122"/>
      <c r="I238" s="5"/>
      <c r="J238" s="6">
        <v>0</v>
      </c>
      <c r="K238" s="7">
        <v>0</v>
      </c>
      <c r="L238" s="8"/>
      <c r="M238" s="9">
        <v>0</v>
      </c>
      <c r="N238" s="10">
        <v>0</v>
      </c>
      <c r="O238" s="8"/>
      <c r="P238" s="9">
        <v>0</v>
      </c>
      <c r="Q238" s="10">
        <v>0</v>
      </c>
      <c r="R238" s="8"/>
    </row>
    <row r="239" spans="1:18" ht="18.75" customHeight="1" thickBot="1" x14ac:dyDescent="0.25">
      <c r="A239" s="5"/>
      <c r="B239" s="5" t="s">
        <v>205</v>
      </c>
      <c r="C239" s="320">
        <f>IF(入力試算シート!Z49="無し",IF(VLOOKUP($A238,$J238:$K260,2,TRUE)-IF($D239&gt;=100000,100000,$D239)&lt;0,0,VLOOKUP($A238,$J238:$K260,2,TRUE)-IF($D239&gt;=100000,100000,$D239)),速算表!K258-IF($A238&lt;10000000,ROUNDUP(($A238-8500000)*0.1,0),150000)-IF($D239&gt;=100000,100000,$D239))</f>
        <v>0</v>
      </c>
      <c r="D239" s="321">
        <f>IF($D238=0,0,IF(AND(入力試算シート!S256="以前",$B238&lt;=1250000),$B238-1100000-$N$240,IF(入力試算シート!S256="以降",$D238,$D238-150000)))</f>
        <v>0</v>
      </c>
      <c r="E239" s="322">
        <f>$E238</f>
        <v>0</v>
      </c>
      <c r="F239" s="323">
        <f>IF(SUM($C239:$E239)&lt;=0,0,SUM($C239:$E239))</f>
        <v>0</v>
      </c>
      <c r="G239" s="12"/>
      <c r="H239" s="12"/>
      <c r="I239" s="12"/>
      <c r="J239" s="13">
        <v>550999</v>
      </c>
      <c r="K239" s="14">
        <v>0</v>
      </c>
      <c r="L239" s="8"/>
      <c r="M239" s="15">
        <v>1100000</v>
      </c>
      <c r="N239" s="16">
        <v>0</v>
      </c>
      <c r="O239" s="8"/>
      <c r="P239" s="15">
        <v>600000</v>
      </c>
      <c r="Q239" s="16">
        <v>0</v>
      </c>
      <c r="R239" s="8"/>
    </row>
    <row r="240" spans="1:18" ht="18.75" customHeight="1" x14ac:dyDescent="0.2">
      <c r="A240" s="5"/>
      <c r="B240" s="5"/>
      <c r="C240" s="5"/>
      <c r="D240" s="8"/>
      <c r="E240" s="8"/>
      <c r="F240" s="8"/>
      <c r="G240" s="8"/>
      <c r="H240" s="8"/>
      <c r="I240" s="8"/>
      <c r="J240" s="13">
        <v>551000</v>
      </c>
      <c r="K240" s="14">
        <f>A238-550000</f>
        <v>-550000</v>
      </c>
      <c r="L240" s="8"/>
      <c r="M240" s="15">
        <v>1100001</v>
      </c>
      <c r="N240" s="16">
        <f>IF(E238&lt;=10000000,B238-1100000,IF(AND(E238&gt;10000000,E238&lt;=20000000),B238-1000000,B238-900000))</f>
        <v>-1100000</v>
      </c>
      <c r="O240" s="8"/>
      <c r="P240" s="15">
        <v>600001</v>
      </c>
      <c r="Q240" s="16">
        <f>IF(E238&lt;=10000000,B238-600000,IF(AND(E238&gt;10000000,E238&lt;=20000000),B238-500000,B238-400000))</f>
        <v>-600000</v>
      </c>
      <c r="R240" s="8"/>
    </row>
    <row r="241" spans="1:18" ht="18.75" customHeight="1" x14ac:dyDescent="0.2">
      <c r="A241" s="5"/>
      <c r="B241" s="5"/>
      <c r="C241" s="5"/>
      <c r="D241" s="8"/>
      <c r="E241" s="8"/>
      <c r="F241" s="8"/>
      <c r="G241" s="8"/>
      <c r="H241" s="8"/>
      <c r="I241" s="8"/>
      <c r="J241" s="15">
        <v>1618999</v>
      </c>
      <c r="K241" s="16">
        <f>A238-550000</f>
        <v>-550000</v>
      </c>
      <c r="L241" s="8"/>
      <c r="M241" s="15">
        <v>3300000</v>
      </c>
      <c r="N241" s="16">
        <f>IF(E238&lt;=10000000,B238-1100000,IF(AND(E238&gt;10000000,E238&lt;=20000000),B238-1000000,B238-900000))</f>
        <v>-1100000</v>
      </c>
      <c r="O241" s="8"/>
      <c r="P241" s="15">
        <v>1300000</v>
      </c>
      <c r="Q241" s="16">
        <f>IF(E238&lt;=10000000,B238-600000,IF(AND(E238&gt;10000000,E238&lt;=20000000),B238-500000,B238-400000))</f>
        <v>-600000</v>
      </c>
      <c r="R241" s="8"/>
    </row>
    <row r="242" spans="1:18" ht="18.75" customHeight="1" x14ac:dyDescent="0.2">
      <c r="A242" s="5"/>
      <c r="B242" s="5"/>
      <c r="C242" s="5"/>
      <c r="D242" s="8"/>
      <c r="E242" s="8"/>
      <c r="F242" s="8"/>
      <c r="G242" s="8"/>
      <c r="H242" s="8"/>
      <c r="I242" s="8"/>
      <c r="J242" s="15">
        <v>1619000</v>
      </c>
      <c r="K242" s="16">
        <v>1069000</v>
      </c>
      <c r="L242" s="8"/>
      <c r="M242" s="15">
        <v>3300001</v>
      </c>
      <c r="N242" s="16">
        <f>IF(E238&lt;=10000000,B238-(B238*0.25+275000),IF(AND(E238&gt;10000000,E238&lt;=20000000),B238-(B238*0.25+175000),B238-(B238*0.25+75000)))</f>
        <v>-275000</v>
      </c>
      <c r="O242" s="8"/>
      <c r="P242" s="15">
        <v>1300001</v>
      </c>
      <c r="Q242" s="16">
        <f>IF(E238&lt;=10000000,B238-(B238*0.25+275000),IF(AND(E238&gt;10000000,E238&lt;=20000000),B238-(B238*0.25+175000),B238-(B238*0.25+75000)))</f>
        <v>-275000</v>
      </c>
      <c r="R242" s="8"/>
    </row>
    <row r="243" spans="1:18" ht="18.75" customHeight="1" x14ac:dyDescent="0.2">
      <c r="A243" s="5"/>
      <c r="B243" s="5"/>
      <c r="C243" s="5"/>
      <c r="D243" s="8"/>
      <c r="E243" s="8"/>
      <c r="F243" s="8"/>
      <c r="G243" s="8"/>
      <c r="H243" s="8"/>
      <c r="I243" s="8"/>
      <c r="J243" s="15">
        <v>1619999</v>
      </c>
      <c r="K243" s="16">
        <v>1069000</v>
      </c>
      <c r="L243" s="8"/>
      <c r="M243" s="15">
        <v>4100000</v>
      </c>
      <c r="N243" s="16">
        <f>IF(E238&lt;=10000000,B238-(B238*0.25+275000),IF(AND(E238&gt;10000000,E238&lt;=20000000),B238-(B238*0.25+175000),B238-(B238*0.25+75000)))</f>
        <v>-275000</v>
      </c>
      <c r="O243" s="8"/>
      <c r="P243" s="15">
        <v>4100000</v>
      </c>
      <c r="Q243" s="16">
        <f>IF(E238&lt;=10000000,B238-(B238*0.25+275000),IF(AND(E238&gt;10000000,E238&lt;=20000000),B238-(B238*0.25+175000),B238-(B238*0.25+75000)))</f>
        <v>-275000</v>
      </c>
      <c r="R243" s="8"/>
    </row>
    <row r="244" spans="1:18" ht="18.75" customHeight="1" x14ac:dyDescent="0.2">
      <c r="A244" s="5"/>
      <c r="B244" s="5"/>
      <c r="C244" s="5"/>
      <c r="D244" s="8"/>
      <c r="E244" s="8"/>
      <c r="F244" s="8"/>
      <c r="G244" s="8"/>
      <c r="H244" s="8"/>
      <c r="I244" s="8"/>
      <c r="J244" s="15">
        <v>1620000</v>
      </c>
      <c r="K244" s="16">
        <v>1070000</v>
      </c>
      <c r="L244" s="8"/>
      <c r="M244" s="15">
        <v>4100001</v>
      </c>
      <c r="N244" s="16">
        <f>IF(E238&lt;=10000000,B238-(B238*0.15+685000),IF(AND(E238&gt;10000000,E238&lt;=20000000),B238-(B238*0.15+585000),B238-(B238*0.15+485000)))</f>
        <v>-685000</v>
      </c>
      <c r="O244" s="8"/>
      <c r="P244" s="15">
        <v>4100001</v>
      </c>
      <c r="Q244" s="16">
        <f>IF(E238&lt;=10000000,B238-(B238*0.15+685000),IF(AND(E238&gt;10000000,E238&lt;=20000000),B238-(B238*0.15+585000),B238-(B238*0.15+485000)))</f>
        <v>-685000</v>
      </c>
      <c r="R244" s="8"/>
    </row>
    <row r="245" spans="1:18" ht="18.75" customHeight="1" x14ac:dyDescent="0.2">
      <c r="A245" s="8"/>
      <c r="B245" s="8"/>
      <c r="C245" s="8"/>
      <c r="D245" s="8"/>
      <c r="E245" s="8"/>
      <c r="F245" s="8"/>
      <c r="G245" s="8"/>
      <c r="H245" s="8"/>
      <c r="I245" s="8"/>
      <c r="J245" s="15">
        <v>1621999</v>
      </c>
      <c r="K245" s="16">
        <v>1070000</v>
      </c>
      <c r="L245" s="8"/>
      <c r="M245" s="15">
        <v>7700000</v>
      </c>
      <c r="N245" s="16">
        <f>IF(E238&lt;=10000000,B238-(B238*0.15+685000),IF(AND(E238&gt;10000000,E238&lt;=20000000),B238-(B238*0.15+585000),B238-(B238*0.15+485000)))</f>
        <v>-685000</v>
      </c>
      <c r="O245" s="8"/>
      <c r="P245" s="15">
        <v>7700000</v>
      </c>
      <c r="Q245" s="16">
        <f>IF(E238&lt;=10000000,B238-(B238*0.15+685000),IF(AND(E238&gt;10000000,E238&lt;=20000000),B238-(B238*0.15+585000),B238-(B238*0.15+485000)))</f>
        <v>-685000</v>
      </c>
      <c r="R245" s="8"/>
    </row>
    <row r="246" spans="1:18" ht="18.75" customHeight="1" x14ac:dyDescent="0.2">
      <c r="A246" s="8"/>
      <c r="B246" s="8"/>
      <c r="C246" s="8"/>
      <c r="D246" s="8"/>
      <c r="E246" s="8"/>
      <c r="F246" s="8"/>
      <c r="G246" s="8"/>
      <c r="H246" s="8"/>
      <c r="I246" s="8"/>
      <c r="J246" s="15">
        <v>1622000</v>
      </c>
      <c r="K246" s="16">
        <v>1072000</v>
      </c>
      <c r="L246" s="8"/>
      <c r="M246" s="15">
        <v>7700001</v>
      </c>
      <c r="N246" s="16">
        <f>IF(E238&lt;=10000000,B238-(B238*0.05+1455000),IF(AND(E238&gt;10000000,E238&lt;=20000000),B238-(B238*0.05+1355000),B238-(B238*0.05+1255000)))</f>
        <v>-1455000</v>
      </c>
      <c r="O246" s="8"/>
      <c r="P246" s="15">
        <v>7700001</v>
      </c>
      <c r="Q246" s="20">
        <f>IF(E238&lt;=10000000,B238-(B238*0.05+1455000),IF(AND(E238&gt;10000000,E238&lt;=20000000),B238-(B238*0.05+1355000),B238-(B238*0.05+1255000)))</f>
        <v>-1455000</v>
      </c>
      <c r="R246" s="8"/>
    </row>
    <row r="247" spans="1:18" ht="18.75" customHeight="1" x14ac:dyDescent="0.2">
      <c r="A247" s="8"/>
      <c r="B247" s="8"/>
      <c r="C247" s="8"/>
      <c r="D247" s="8"/>
      <c r="E247" s="8"/>
      <c r="F247" s="8"/>
      <c r="G247" s="8"/>
      <c r="H247" s="8"/>
      <c r="I247" s="8"/>
      <c r="J247" s="15">
        <v>1623999</v>
      </c>
      <c r="K247" s="16">
        <v>1072000</v>
      </c>
      <c r="L247" s="8"/>
      <c r="M247" s="15">
        <v>10000000</v>
      </c>
      <c r="N247" s="16">
        <f>IF(E238&lt;=10000000,B238-(B238*0.05+1455000),IF(AND(E238&gt;10000000,E238&lt;=20000000),B238-(B238*0.05+1355000),B238-(B238*0.05+1255000)))</f>
        <v>-1455000</v>
      </c>
      <c r="O247" s="8"/>
      <c r="P247" s="15">
        <v>10000000</v>
      </c>
      <c r="Q247" s="293">
        <f>IF(E238&lt;=10000000,B238-(B238*0.05+1455000),IF(AND(E238&gt;10000000,E238&lt;=20000000),B238-(B238*0.05+1355000),B238-(B238*0.05+1255000)))</f>
        <v>-1455000</v>
      </c>
      <c r="R247" s="8"/>
    </row>
    <row r="248" spans="1:18" ht="18.75" customHeight="1" thickBot="1" x14ac:dyDescent="0.25">
      <c r="A248" s="8"/>
      <c r="B248" s="8"/>
      <c r="C248" s="8"/>
      <c r="D248" s="8"/>
      <c r="E248" s="8"/>
      <c r="F248" s="8"/>
      <c r="G248" s="8"/>
      <c r="H248" s="8"/>
      <c r="I248" s="8"/>
      <c r="J248" s="15">
        <v>1624000</v>
      </c>
      <c r="K248" s="16">
        <v>1074000</v>
      </c>
      <c r="L248" s="8"/>
      <c r="M248" s="17">
        <v>10000001</v>
      </c>
      <c r="N248" s="18">
        <f>IF(E238&lt;=10000000,B238-1955000,IF(AND(E238&gt;10000000,E238&lt;=20000000),B238-1855000,B238-1755000))</f>
        <v>-1955000</v>
      </c>
      <c r="O248" s="8"/>
      <c r="P248" s="17">
        <v>10000001</v>
      </c>
      <c r="Q248" s="294">
        <f>IF(E238&lt;=10000000,B238-1955000,IF(AND(E238&gt;10000000,E238&lt;=20000000),B238-1855000,B238-1755000))</f>
        <v>-1955000</v>
      </c>
      <c r="R248" s="8"/>
    </row>
    <row r="249" spans="1:18" ht="18.75" customHeight="1" x14ac:dyDescent="0.2">
      <c r="A249" s="8"/>
      <c r="B249" s="8"/>
      <c r="C249" s="8"/>
      <c r="D249" s="8"/>
      <c r="E249" s="8"/>
      <c r="F249" s="8"/>
      <c r="G249" s="8"/>
      <c r="H249" s="8"/>
      <c r="I249" s="8"/>
      <c r="J249" s="15">
        <v>1627999</v>
      </c>
      <c r="K249" s="16">
        <v>1074000</v>
      </c>
      <c r="L249" s="8"/>
      <c r="O249" s="8"/>
      <c r="R249" s="8"/>
    </row>
    <row r="250" spans="1:18" ht="18.75" customHeight="1" x14ac:dyDescent="0.2">
      <c r="A250" s="8"/>
      <c r="B250" s="8"/>
      <c r="C250" s="8"/>
      <c r="D250" s="8"/>
      <c r="E250" s="8"/>
      <c r="F250" s="8"/>
      <c r="G250" s="8"/>
      <c r="H250" s="8"/>
      <c r="I250" s="8"/>
      <c r="J250" s="15">
        <v>1628000</v>
      </c>
      <c r="K250" s="16">
        <f>ROUNDDOWN($A$238/4,-3)*2.4+100000</f>
        <v>100000</v>
      </c>
      <c r="L250" s="8"/>
      <c r="O250" s="8"/>
      <c r="R250" s="8"/>
    </row>
    <row r="251" spans="1:18" ht="18.75" customHeight="1" x14ac:dyDescent="0.2">
      <c r="A251" s="8"/>
      <c r="B251" s="8"/>
      <c r="C251" s="8"/>
      <c r="D251" s="8"/>
      <c r="E251" s="8"/>
      <c r="F251" s="8"/>
      <c r="G251" s="8"/>
      <c r="H251" s="8"/>
      <c r="I251" s="8"/>
      <c r="J251" s="15">
        <v>1799999</v>
      </c>
      <c r="K251" s="16">
        <f>ROUNDDOWN($A$238/4,-3)*2.4+100000</f>
        <v>100000</v>
      </c>
      <c r="L251" s="8"/>
      <c r="O251" s="8"/>
      <c r="R251" s="8"/>
    </row>
    <row r="252" spans="1:18" ht="18.75" customHeight="1" x14ac:dyDescent="0.2">
      <c r="A252" s="8"/>
      <c r="B252" s="8"/>
      <c r="C252" s="8"/>
      <c r="D252" s="8"/>
      <c r="E252" s="8"/>
      <c r="F252" s="8"/>
      <c r="G252" s="8"/>
      <c r="H252" s="8"/>
      <c r="I252" s="8"/>
      <c r="J252" s="15">
        <v>1800000</v>
      </c>
      <c r="K252" s="16">
        <f>ROUNDDOWN($A$238/4,-3)*2.8-80000</f>
        <v>-80000</v>
      </c>
      <c r="L252" s="8"/>
      <c r="O252" s="8"/>
      <c r="R252" s="8"/>
    </row>
    <row r="253" spans="1:18" ht="18.75" customHeight="1" x14ac:dyDescent="0.2">
      <c r="A253" s="8"/>
      <c r="B253" s="8"/>
      <c r="C253" s="8"/>
      <c r="D253" s="8"/>
      <c r="E253" s="8"/>
      <c r="F253" s="8"/>
      <c r="G253" s="8"/>
      <c r="H253" s="8"/>
      <c r="I253" s="8"/>
      <c r="J253" s="15">
        <v>3599999</v>
      </c>
      <c r="K253" s="16">
        <f>ROUNDDOWN($A$238/4,-3)*2.8-80000</f>
        <v>-80000</v>
      </c>
      <c r="L253" s="8"/>
      <c r="O253" s="8"/>
      <c r="R253" s="8"/>
    </row>
    <row r="254" spans="1:18" ht="18.75" customHeight="1" x14ac:dyDescent="0.2">
      <c r="A254" s="8"/>
      <c r="B254" s="8"/>
      <c r="C254" s="8"/>
      <c r="D254" s="8"/>
      <c r="E254" s="8"/>
      <c r="F254" s="8"/>
      <c r="G254" s="8"/>
      <c r="H254" s="8"/>
      <c r="I254" s="8"/>
      <c r="J254" s="15">
        <v>3600000</v>
      </c>
      <c r="K254" s="16">
        <f>ROUNDDOWN($A$238/4,-3)*3.2-440000</f>
        <v>-440000</v>
      </c>
      <c r="L254" s="8"/>
      <c r="O254" s="8"/>
      <c r="R254" s="8"/>
    </row>
    <row r="255" spans="1:18" ht="18.75" customHeight="1" x14ac:dyDescent="0.2">
      <c r="A255" s="8"/>
      <c r="B255" s="8"/>
      <c r="C255" s="8"/>
      <c r="D255" s="8"/>
      <c r="E255" s="8"/>
      <c r="F255" s="8"/>
      <c r="G255" s="8"/>
      <c r="H255" s="8"/>
      <c r="I255" s="8"/>
      <c r="J255" s="15">
        <v>6599999</v>
      </c>
      <c r="K255" s="16">
        <f>ROUNDDOWN($A$238/4,-3)*3.2-440000</f>
        <v>-440000</v>
      </c>
      <c r="L255" s="8"/>
      <c r="O255" s="8"/>
      <c r="R255" s="8"/>
    </row>
    <row r="256" spans="1:18" ht="18.75" customHeight="1" x14ac:dyDescent="0.2">
      <c r="A256" s="8"/>
      <c r="B256" s="8"/>
      <c r="C256" s="8"/>
      <c r="D256" s="8"/>
      <c r="E256" s="8"/>
      <c r="F256" s="8"/>
      <c r="G256" s="8"/>
      <c r="H256" s="8"/>
      <c r="I256" s="8"/>
      <c r="J256" s="15">
        <v>6600000</v>
      </c>
      <c r="K256" s="16">
        <f>$A$238*0.9-1100000</f>
        <v>-1100000</v>
      </c>
      <c r="L256" s="8"/>
      <c r="O256" s="8"/>
      <c r="R256" s="8"/>
    </row>
    <row r="257" spans="1:18" ht="18.75" customHeight="1" thickBot="1" x14ac:dyDescent="0.25">
      <c r="A257" s="8"/>
      <c r="B257" s="8"/>
      <c r="C257" s="8"/>
      <c r="D257" s="8"/>
      <c r="E257" s="8"/>
      <c r="F257" s="8"/>
      <c r="G257" s="8"/>
      <c r="H257" s="8"/>
      <c r="I257" s="8"/>
      <c r="J257" s="19">
        <v>8499999</v>
      </c>
      <c r="K257" s="16">
        <f>$A$238*0.9-1100000</f>
        <v>-1100000</v>
      </c>
      <c r="L257" s="8"/>
      <c r="O257" s="8"/>
      <c r="R257" s="8"/>
    </row>
    <row r="258" spans="1:18" ht="18.75" customHeight="1" thickBot="1" x14ac:dyDescent="0.25">
      <c r="A258" s="8"/>
      <c r="B258" s="8"/>
      <c r="C258" s="8"/>
      <c r="D258" s="8"/>
      <c r="E258" s="8"/>
      <c r="F258" s="8"/>
      <c r="G258" s="8"/>
      <c r="H258" s="8"/>
      <c r="I258" s="8"/>
      <c r="J258" s="235">
        <v>8500000</v>
      </c>
      <c r="K258" s="234">
        <f>A238-1950000</f>
        <v>-1950000</v>
      </c>
      <c r="L258" s="8"/>
      <c r="O258" s="8"/>
      <c r="R258" s="8"/>
    </row>
    <row r="259" spans="1:18" ht="18.75" customHeight="1" x14ac:dyDescent="0.2">
      <c r="A259" s="8"/>
      <c r="B259" s="8"/>
      <c r="C259" s="8"/>
      <c r="D259" s="8"/>
      <c r="E259" s="8"/>
      <c r="F259" s="8"/>
      <c r="G259" s="8"/>
      <c r="H259" s="8"/>
      <c r="I259" s="8"/>
      <c r="J259" s="229" t="b">
        <f>IF(税率登録シート!$D$2&lt;=2016,14999999,IF(税率登録シート!$D$2=2017,11999999,IF(税率登録シート!$D$2=2018,"")))</f>
        <v>0</v>
      </c>
      <c r="K259" s="230" t="str">
        <f>IF(税率登録シート!$D$2&lt;=2017,A238*0.95-1700000,"")</f>
        <v/>
      </c>
      <c r="L259" s="8"/>
      <c r="O259" s="8"/>
      <c r="R259" s="8"/>
    </row>
    <row r="260" spans="1:18" ht="18.75" customHeight="1" thickBot="1" x14ac:dyDescent="0.25">
      <c r="A260" s="8"/>
      <c r="B260" s="8"/>
      <c r="C260" s="8"/>
      <c r="D260" s="8"/>
      <c r="E260" s="8"/>
      <c r="F260" s="8"/>
      <c r="G260" s="8"/>
      <c r="H260" s="8"/>
      <c r="I260" s="8"/>
      <c r="J260" s="231" t="b">
        <f>IF(税率登録シート!$D$2&lt;=2016,15000000,IF(税率登録シート!$D$2=2017,12000000,IF(税率登録シート!$D$2=2018,"")))</f>
        <v>0</v>
      </c>
      <c r="K260" s="232" t="b">
        <f>IF(税率登録シート!$D$2&lt;=2016,A238-2450000,IF(税率登録シート!$D$2=2017,A238-2300000,IF(税率登録シート!$D$2=2018,"")))</f>
        <v>0</v>
      </c>
      <c r="L260" s="8"/>
      <c r="O260" s="8"/>
      <c r="R260" s="8"/>
    </row>
    <row r="261" spans="1:18" ht="18.75" customHeight="1" x14ac:dyDescent="0.15"/>
    <row r="262" spans="1:18" ht="18.75" customHeight="1" thickBot="1" x14ac:dyDescent="0.25">
      <c r="A262" s="59" t="s">
        <v>50</v>
      </c>
      <c r="B262" s="1"/>
      <c r="M262" s="787" t="str">
        <f>$M$2</f>
        <v>昭和35年１月１日 以前</v>
      </c>
      <c r="N262" s="787"/>
      <c r="P262" s="787" t="str">
        <f>$P$2</f>
        <v>昭和35年１月２日 以降</v>
      </c>
      <c r="Q262" s="787"/>
    </row>
    <row r="263" spans="1:18" ht="18.75" customHeight="1" thickBot="1" x14ac:dyDescent="0.2">
      <c r="A263" s="11" t="s">
        <v>12</v>
      </c>
      <c r="B263" s="11" t="s">
        <v>4</v>
      </c>
      <c r="C263" s="23" t="s">
        <v>13</v>
      </c>
      <c r="D263" s="28" t="s">
        <v>14</v>
      </c>
      <c r="E263" s="31" t="s">
        <v>29</v>
      </c>
      <c r="F263" s="33" t="s">
        <v>2</v>
      </c>
      <c r="G263" s="121"/>
      <c r="H263" s="121"/>
      <c r="I263" s="2"/>
      <c r="J263" s="3" t="s">
        <v>12</v>
      </c>
      <c r="K263" s="4" t="s">
        <v>13</v>
      </c>
      <c r="M263" s="3" t="s">
        <v>4</v>
      </c>
      <c r="N263" s="4" t="s">
        <v>14</v>
      </c>
      <c r="P263" s="3" t="s">
        <v>4</v>
      </c>
      <c r="Q263" s="4" t="s">
        <v>14</v>
      </c>
    </row>
    <row r="264" spans="1:18" ht="18.75" customHeight="1" thickTop="1" thickBot="1" x14ac:dyDescent="0.25">
      <c r="A264" s="5">
        <f>入力試算シート!I50</f>
        <v>0</v>
      </c>
      <c r="B264" s="5">
        <f>入力試算シート!N50</f>
        <v>0</v>
      </c>
      <c r="C264" s="29">
        <f>IF(入力試算シート!Z50="無し",IF(VLOOKUP($A264,$J264:$K286,2,TRUE)-IF($D264&gt;=100000,100000,$D264)&lt;0,0,VLOOKUP($A264,$J264:$K286,2,TRUE)-IF($D264&gt;=100000,100000,$D264)),速算表!K284-IF($A264&lt;10000000,ROUNDUP(($A264-8500000)*0.1,0),150000)-IF($D264&gt;=100000,100000,$D264))</f>
        <v>0</v>
      </c>
      <c r="D264" s="30">
        <f>IF(入力試算シート!S50="以前",VLOOKUP($B$264,$M$264:$N$274,2,TRUE),VLOOKUP($B$264,$P$264:$Q$274,2,TRUE))</f>
        <v>0</v>
      </c>
      <c r="E264" s="32">
        <f>入力試算シート!U50</f>
        <v>0</v>
      </c>
      <c r="F264" s="42">
        <f>IF(SUM($C264:$E264)&lt;=0,0,SUM($C264:$E264))</f>
        <v>0</v>
      </c>
      <c r="G264" s="122"/>
      <c r="H264" s="122"/>
      <c r="I264" s="5"/>
      <c r="J264" s="6">
        <v>0</v>
      </c>
      <c r="K264" s="7">
        <v>0</v>
      </c>
      <c r="L264" s="8"/>
      <c r="M264" s="9">
        <v>0</v>
      </c>
      <c r="N264" s="10">
        <v>0</v>
      </c>
      <c r="O264" s="8"/>
      <c r="P264" s="9">
        <v>0</v>
      </c>
      <c r="Q264" s="10">
        <v>0</v>
      </c>
      <c r="R264" s="8"/>
    </row>
    <row r="265" spans="1:18" ht="18.75" customHeight="1" thickBot="1" x14ac:dyDescent="0.25">
      <c r="A265" s="5"/>
      <c r="B265" s="5" t="s">
        <v>205</v>
      </c>
      <c r="C265" s="320">
        <f>IF(入力試算シート!Z50="無し",IF(VLOOKUP($A264,$J264:$K286,2,TRUE)-IF($D265&gt;=100000,100000,$D265)&lt;0,0,VLOOKUP($A264,$J264:$K286,2,TRUE)-IF($D265&gt;=100000,100000,$D265)),速算表!K284-IF($A264&lt;10000000,ROUNDUP(($A264-8500000)*0.1,0),150000)-IF($D265&gt;=100000,100000,$D265))</f>
        <v>0</v>
      </c>
      <c r="D265" s="321">
        <f>IF($D264=0,0,IF(AND(入力試算シート!S282="以前",$B264&lt;=1250000),$B264-1100000-$N$266,IF(入力試算シート!S282="以降",$D264,$D264-150000)))</f>
        <v>0</v>
      </c>
      <c r="E265" s="322">
        <f>$E264</f>
        <v>0</v>
      </c>
      <c r="F265" s="323">
        <f>IF(SUM($C265:$E265)&lt;=0,0,SUM($C265:$E265))</f>
        <v>0</v>
      </c>
      <c r="G265" s="12"/>
      <c r="H265" s="12"/>
      <c r="I265" s="12"/>
      <c r="J265" s="13">
        <v>550999</v>
      </c>
      <c r="K265" s="14">
        <v>0</v>
      </c>
      <c r="L265" s="8"/>
      <c r="M265" s="15">
        <v>1100000</v>
      </c>
      <c r="N265" s="16">
        <v>0</v>
      </c>
      <c r="O265" s="8"/>
      <c r="P265" s="15">
        <v>600000</v>
      </c>
      <c r="Q265" s="16">
        <v>0</v>
      </c>
      <c r="R265" s="8"/>
    </row>
    <row r="266" spans="1:18" ht="18.75" customHeight="1" x14ac:dyDescent="0.2">
      <c r="A266" s="5"/>
      <c r="B266" s="5"/>
      <c r="C266" s="5"/>
      <c r="D266" s="8"/>
      <c r="E266" s="8"/>
      <c r="F266" s="8"/>
      <c r="G266" s="8"/>
      <c r="H266" s="8"/>
      <c r="I266" s="8"/>
      <c r="J266" s="13">
        <v>551000</v>
      </c>
      <c r="K266" s="14">
        <f>A264-550000</f>
        <v>-550000</v>
      </c>
      <c r="L266" s="8"/>
      <c r="M266" s="15">
        <v>1100001</v>
      </c>
      <c r="N266" s="16">
        <f>IF(E264&lt;=10000000,B264-1100000,IF(AND(E264&gt;10000000,E264&lt;=20000000),B264-1000000,B264-900000))</f>
        <v>-1100000</v>
      </c>
      <c r="O266" s="8"/>
      <c r="P266" s="15">
        <v>600001</v>
      </c>
      <c r="Q266" s="16">
        <f>IF(E264&lt;=10000000,B264-600000,IF(AND(E264&gt;10000000,E264&lt;=20000000),B264-500000,B264-400000))</f>
        <v>-600000</v>
      </c>
      <c r="R266" s="8"/>
    </row>
    <row r="267" spans="1:18" ht="18.75" customHeight="1" x14ac:dyDescent="0.2">
      <c r="A267" s="5"/>
      <c r="B267" s="5"/>
      <c r="C267" s="5"/>
      <c r="D267" s="8"/>
      <c r="E267" s="8"/>
      <c r="F267" s="8"/>
      <c r="G267" s="8"/>
      <c r="H267" s="8"/>
      <c r="I267" s="8"/>
      <c r="J267" s="15">
        <v>1618999</v>
      </c>
      <c r="K267" s="16">
        <f>A264-550000</f>
        <v>-550000</v>
      </c>
      <c r="L267" s="8"/>
      <c r="M267" s="15">
        <v>3300000</v>
      </c>
      <c r="N267" s="16">
        <f>IF(E264&lt;=10000000,B264-1100000,IF(AND(E264&gt;10000000,E264&lt;=20000000),B264-1000000,B264-900000))</f>
        <v>-1100000</v>
      </c>
      <c r="O267" s="8"/>
      <c r="P267" s="15">
        <v>1300000</v>
      </c>
      <c r="Q267" s="16">
        <f>IF(E264&lt;=10000000,B264-600000,IF(AND(E264&gt;10000000,E264&lt;=20000000),B264-500000,B264-400000))</f>
        <v>-600000</v>
      </c>
      <c r="R267" s="8"/>
    </row>
    <row r="268" spans="1:18" ht="18.75" customHeight="1" x14ac:dyDescent="0.2">
      <c r="A268" s="5"/>
      <c r="B268" s="5"/>
      <c r="C268" s="5"/>
      <c r="D268" s="8"/>
      <c r="E268" s="8"/>
      <c r="F268" s="8"/>
      <c r="G268" s="8"/>
      <c r="H268" s="8"/>
      <c r="I268" s="8"/>
      <c r="J268" s="15">
        <v>1619000</v>
      </c>
      <c r="K268" s="16">
        <v>1069000</v>
      </c>
      <c r="L268" s="8"/>
      <c r="M268" s="15">
        <v>3300001</v>
      </c>
      <c r="N268" s="16">
        <f>IF(E264&lt;=10000000,B264-(B264*0.25+275000),IF(AND(E264&gt;10000000,E264&lt;=20000000),B264-(B264*0.25+175000),B264-(B264*0.25+75000)))</f>
        <v>-275000</v>
      </c>
      <c r="O268" s="8"/>
      <c r="P268" s="15">
        <v>1300001</v>
      </c>
      <c r="Q268" s="16">
        <f>IF(E264&lt;=10000000,B264-(B264*0.25+275000),IF(AND(E264&gt;10000000,E264&lt;=20000000),B264-(B264*0.25+175000),B264-(B264*0.25+75000)))</f>
        <v>-275000</v>
      </c>
      <c r="R268" s="8"/>
    </row>
    <row r="269" spans="1:18" ht="18.75" customHeight="1" x14ac:dyDescent="0.2">
      <c r="A269" s="5"/>
      <c r="B269" s="5"/>
      <c r="C269" s="5"/>
      <c r="D269" s="8"/>
      <c r="E269" s="8"/>
      <c r="F269" s="8"/>
      <c r="G269" s="8"/>
      <c r="H269" s="8"/>
      <c r="I269" s="8"/>
      <c r="J269" s="15">
        <v>1619999</v>
      </c>
      <c r="K269" s="16">
        <v>1069000</v>
      </c>
      <c r="L269" s="8"/>
      <c r="M269" s="15">
        <v>4100000</v>
      </c>
      <c r="N269" s="16">
        <f>IF(E264&lt;=10000000,B264-(B264*0.25+275000),IF(AND(E264&gt;10000000,E264&lt;=20000000),B264-(B264*0.25+175000),B264-(B264*0.25+75000)))</f>
        <v>-275000</v>
      </c>
      <c r="O269" s="8"/>
      <c r="P269" s="15">
        <v>4100000</v>
      </c>
      <c r="Q269" s="16">
        <f>IF(E264&lt;=10000000,B264-(B264*0.25+275000),IF(AND(E264&gt;10000000,E264&lt;=20000000),B264-(B264*0.25+175000),B264-(B264*0.25+75000)))</f>
        <v>-275000</v>
      </c>
      <c r="R269" s="8"/>
    </row>
    <row r="270" spans="1:18" ht="18.75" customHeight="1" x14ac:dyDescent="0.2">
      <c r="A270" s="5"/>
      <c r="B270" s="5"/>
      <c r="C270" s="5"/>
      <c r="D270" s="8"/>
      <c r="E270" s="8"/>
      <c r="F270" s="8"/>
      <c r="G270" s="8"/>
      <c r="H270" s="8"/>
      <c r="I270" s="8"/>
      <c r="J270" s="15">
        <v>1620000</v>
      </c>
      <c r="K270" s="16">
        <v>1070000</v>
      </c>
      <c r="L270" s="8"/>
      <c r="M270" s="15">
        <v>4100001</v>
      </c>
      <c r="N270" s="16">
        <f>IF(E264&lt;=10000000,B264-(B264*0.15+685000),IF(AND(E264&gt;10000000,E264&lt;=20000000),B264-(B264*0.15+585000),B264-(B264*0.15+485000)))</f>
        <v>-685000</v>
      </c>
      <c r="O270" s="8"/>
      <c r="P270" s="15">
        <v>4100001</v>
      </c>
      <c r="Q270" s="16">
        <f>IF(E264&lt;=10000000,B264-(B264*0.15+685000),IF(AND(E264&gt;10000000,E264&lt;=20000000),B264-(B264*0.15+585000),B264-(B264*0.15+485000)))</f>
        <v>-685000</v>
      </c>
      <c r="R270" s="8"/>
    </row>
    <row r="271" spans="1:18" ht="18.75" customHeight="1" x14ac:dyDescent="0.2">
      <c r="A271" s="8"/>
      <c r="B271" s="8"/>
      <c r="C271" s="8"/>
      <c r="D271" s="8"/>
      <c r="E271" s="8"/>
      <c r="F271" s="8"/>
      <c r="G271" s="8"/>
      <c r="H271" s="8"/>
      <c r="I271" s="8"/>
      <c r="J271" s="15">
        <v>1621999</v>
      </c>
      <c r="K271" s="16">
        <v>1070000</v>
      </c>
      <c r="L271" s="8"/>
      <c r="M271" s="15">
        <v>7700000</v>
      </c>
      <c r="N271" s="16">
        <f>IF(E264&lt;=10000000,B264-(B264*0.15+685000),IF(AND(E264&gt;10000000,E264&lt;=20000000),B264-(B264*0.15+585000),B264-(B264*0.15+485000)))</f>
        <v>-685000</v>
      </c>
      <c r="O271" s="8"/>
      <c r="P271" s="15">
        <v>7700000</v>
      </c>
      <c r="Q271" s="16">
        <f>IF(E264&lt;=10000000,B264-(B264*0.15+685000),IF(AND(E264&gt;10000000,E264&lt;=20000000),B264-(B264*0.15+585000),B264-(B264*0.15+485000)))</f>
        <v>-685000</v>
      </c>
      <c r="R271" s="8"/>
    </row>
    <row r="272" spans="1:18" ht="18.75" customHeight="1" x14ac:dyDescent="0.2">
      <c r="A272" s="8"/>
      <c r="B272" s="8"/>
      <c r="C272" s="8"/>
      <c r="D272" s="8"/>
      <c r="E272" s="8"/>
      <c r="F272" s="8"/>
      <c r="G272" s="8"/>
      <c r="H272" s="8"/>
      <c r="I272" s="8"/>
      <c r="J272" s="15">
        <v>1622000</v>
      </c>
      <c r="K272" s="16">
        <v>1072000</v>
      </c>
      <c r="L272" s="8"/>
      <c r="M272" s="15">
        <v>7700001</v>
      </c>
      <c r="N272" s="16">
        <f>IF(E264&lt;=10000000,B264-(B264*0.05+1455000),IF(AND(E264&gt;10000000,E264&lt;=20000000),B264-(B264*0.05+1355000),B264-(B264*0.05+1255000)))</f>
        <v>-1455000</v>
      </c>
      <c r="O272" s="8"/>
      <c r="P272" s="15">
        <v>7700001</v>
      </c>
      <c r="Q272" s="20">
        <f>IF(E264&lt;=10000000,B264-(B264*0.05+1455000),IF(AND(E264&gt;10000000,E264&lt;=20000000),B264-(B264*0.05+1355000),B264-(B264*0.05+1255000)))</f>
        <v>-1455000</v>
      </c>
      <c r="R272" s="8"/>
    </row>
    <row r="273" spans="1:18" ht="18.75" customHeight="1" x14ac:dyDescent="0.2">
      <c r="A273" s="8"/>
      <c r="B273" s="8"/>
      <c r="C273" s="8"/>
      <c r="D273" s="8"/>
      <c r="E273" s="8"/>
      <c r="F273" s="8"/>
      <c r="G273" s="8"/>
      <c r="H273" s="8"/>
      <c r="I273" s="8"/>
      <c r="J273" s="15">
        <v>1623999</v>
      </c>
      <c r="K273" s="16">
        <v>1072000</v>
      </c>
      <c r="L273" s="8"/>
      <c r="M273" s="15">
        <v>10000000</v>
      </c>
      <c r="N273" s="16">
        <f>IF(E264&lt;=10000000,B264-(B264*0.05+1455000),IF(AND(E264&gt;10000000,E264&lt;=20000000),B264-(B264*0.05+1355000),B264-(B264*0.05+1255000)))</f>
        <v>-1455000</v>
      </c>
      <c r="O273" s="8"/>
      <c r="P273" s="15">
        <v>10000000</v>
      </c>
      <c r="Q273" s="293">
        <f>IF(E264&lt;=10000000,B264-(B264*0.05+1455000),IF(AND(E264&gt;10000000,E264&lt;=20000000),B264-(B264*0.05+1355000),B264-(B264*0.05+1255000)))</f>
        <v>-1455000</v>
      </c>
      <c r="R273" s="8"/>
    </row>
    <row r="274" spans="1:18" ht="18.75" customHeight="1" thickBot="1" x14ac:dyDescent="0.25">
      <c r="A274" s="8"/>
      <c r="B274" s="8"/>
      <c r="C274" s="8"/>
      <c r="D274" s="8"/>
      <c r="E274" s="8"/>
      <c r="F274" s="8"/>
      <c r="G274" s="8"/>
      <c r="H274" s="8"/>
      <c r="I274" s="8"/>
      <c r="J274" s="15">
        <v>1624000</v>
      </c>
      <c r="K274" s="16">
        <v>1074000</v>
      </c>
      <c r="L274" s="8"/>
      <c r="M274" s="17">
        <v>10000001</v>
      </c>
      <c r="N274" s="18">
        <f>IF(E264&lt;=10000000,B264-1955000,IF(AND(E264&gt;10000000,E264&lt;=20000000),B264-1855000,B264-1755000))</f>
        <v>-1955000</v>
      </c>
      <c r="O274" s="8"/>
      <c r="P274" s="17">
        <v>10000001</v>
      </c>
      <c r="Q274" s="294">
        <f>IF(E264&lt;=10000000,B264-1955000,IF(AND(E264&gt;10000000,E264&lt;=20000000),B264-1855000,B264-1755000))</f>
        <v>-1955000</v>
      </c>
      <c r="R274" s="8"/>
    </row>
    <row r="275" spans="1:18" ht="18.75" customHeight="1" x14ac:dyDescent="0.2">
      <c r="A275" s="8"/>
      <c r="B275" s="8"/>
      <c r="C275" s="8"/>
      <c r="D275" s="8"/>
      <c r="E275" s="8"/>
      <c r="F275" s="8"/>
      <c r="G275" s="8"/>
      <c r="H275" s="8"/>
      <c r="I275" s="8"/>
      <c r="J275" s="15">
        <v>1627999</v>
      </c>
      <c r="K275" s="16">
        <v>1074000</v>
      </c>
      <c r="L275" s="8"/>
      <c r="O275" s="8"/>
      <c r="R275" s="8"/>
    </row>
    <row r="276" spans="1:18" ht="18.75" customHeight="1" x14ac:dyDescent="0.2">
      <c r="A276" s="8"/>
      <c r="B276" s="8"/>
      <c r="C276" s="8"/>
      <c r="D276" s="8"/>
      <c r="E276" s="8"/>
      <c r="F276" s="8"/>
      <c r="G276" s="8"/>
      <c r="H276" s="8"/>
      <c r="I276" s="8"/>
      <c r="J276" s="15">
        <v>1628000</v>
      </c>
      <c r="K276" s="16">
        <f>ROUNDDOWN($A$264/4,-3)*2.4+100000</f>
        <v>100000</v>
      </c>
      <c r="L276" s="8"/>
      <c r="O276" s="8"/>
      <c r="R276" s="8"/>
    </row>
    <row r="277" spans="1:18" ht="18.75" customHeight="1" x14ac:dyDescent="0.2">
      <c r="A277" s="8"/>
      <c r="B277" s="8"/>
      <c r="C277" s="8"/>
      <c r="D277" s="8"/>
      <c r="E277" s="8"/>
      <c r="F277" s="8"/>
      <c r="G277" s="8"/>
      <c r="H277" s="8"/>
      <c r="I277" s="8"/>
      <c r="J277" s="15">
        <v>1799999</v>
      </c>
      <c r="K277" s="16">
        <f>ROUNDDOWN($A$264/4,-3)*2.4+100000</f>
        <v>100000</v>
      </c>
      <c r="L277" s="8"/>
      <c r="O277" s="8"/>
      <c r="R277" s="8"/>
    </row>
    <row r="278" spans="1:18" ht="18.75" customHeight="1" x14ac:dyDescent="0.2">
      <c r="A278" s="8"/>
      <c r="B278" s="8"/>
      <c r="C278" s="8"/>
      <c r="D278" s="8"/>
      <c r="E278" s="8"/>
      <c r="F278" s="8"/>
      <c r="G278" s="8"/>
      <c r="H278" s="8"/>
      <c r="I278" s="8"/>
      <c r="J278" s="15">
        <v>1800000</v>
      </c>
      <c r="K278" s="16">
        <f>ROUNDDOWN($A$264/4,-3)*2.8-80000</f>
        <v>-80000</v>
      </c>
      <c r="L278" s="8"/>
      <c r="O278" s="8"/>
      <c r="R278" s="8"/>
    </row>
    <row r="279" spans="1:18" ht="18.75" customHeight="1" x14ac:dyDescent="0.2">
      <c r="A279" s="8"/>
      <c r="B279" s="8"/>
      <c r="C279" s="8"/>
      <c r="D279" s="8"/>
      <c r="E279" s="8"/>
      <c r="F279" s="8"/>
      <c r="G279" s="8"/>
      <c r="H279" s="8"/>
      <c r="I279" s="8"/>
      <c r="J279" s="15">
        <v>3599999</v>
      </c>
      <c r="K279" s="16">
        <f>ROUNDDOWN($A$264/4,-3)*2.8-80000</f>
        <v>-80000</v>
      </c>
      <c r="L279" s="8"/>
      <c r="O279" s="8"/>
      <c r="R279" s="8"/>
    </row>
    <row r="280" spans="1:18" ht="18.75" customHeight="1" x14ac:dyDescent="0.2">
      <c r="A280" s="8"/>
      <c r="B280" s="8"/>
      <c r="C280" s="8"/>
      <c r="D280" s="8"/>
      <c r="E280" s="8"/>
      <c r="F280" s="8"/>
      <c r="G280" s="8"/>
      <c r="H280" s="8"/>
      <c r="I280" s="8"/>
      <c r="J280" s="15">
        <v>3600000</v>
      </c>
      <c r="K280" s="16">
        <f>ROUNDDOWN($A$264/4,-3)*3.2-440000</f>
        <v>-440000</v>
      </c>
      <c r="L280" s="8"/>
      <c r="O280" s="8"/>
      <c r="R280" s="8"/>
    </row>
    <row r="281" spans="1:18" ht="18.75" customHeight="1" x14ac:dyDescent="0.2">
      <c r="A281" s="8"/>
      <c r="B281" s="8"/>
      <c r="C281" s="8"/>
      <c r="D281" s="8"/>
      <c r="E281" s="8"/>
      <c r="F281" s="8"/>
      <c r="G281" s="8"/>
      <c r="H281" s="8"/>
      <c r="I281" s="8"/>
      <c r="J281" s="15">
        <v>6599999</v>
      </c>
      <c r="K281" s="16">
        <f>ROUNDDOWN($A$264/4,-3)*3.2-440000</f>
        <v>-440000</v>
      </c>
      <c r="L281" s="8"/>
      <c r="O281" s="8"/>
      <c r="R281" s="8"/>
    </row>
    <row r="282" spans="1:18" ht="18.75" customHeight="1" x14ac:dyDescent="0.2">
      <c r="A282" s="8"/>
      <c r="B282" s="8"/>
      <c r="C282" s="8"/>
      <c r="D282" s="8"/>
      <c r="E282" s="8"/>
      <c r="F282" s="8"/>
      <c r="G282" s="8"/>
      <c r="H282" s="8"/>
      <c r="I282" s="8"/>
      <c r="J282" s="15">
        <v>6600000</v>
      </c>
      <c r="K282" s="16">
        <f>$A$264*0.9-1100000</f>
        <v>-1100000</v>
      </c>
      <c r="L282" s="8"/>
      <c r="O282" s="8"/>
      <c r="R282" s="8"/>
    </row>
    <row r="283" spans="1:18" ht="18.75" customHeight="1" thickBot="1" x14ac:dyDescent="0.25">
      <c r="A283" s="8"/>
      <c r="B283" s="8"/>
      <c r="C283" s="8"/>
      <c r="D283" s="8"/>
      <c r="E283" s="8"/>
      <c r="F283" s="8"/>
      <c r="G283" s="8"/>
      <c r="H283" s="8"/>
      <c r="I283" s="8"/>
      <c r="J283" s="19">
        <v>8499999</v>
      </c>
      <c r="K283" s="16">
        <f>$A$264*0.9-1100000</f>
        <v>-1100000</v>
      </c>
      <c r="L283" s="8"/>
      <c r="O283" s="8"/>
      <c r="R283" s="8"/>
    </row>
    <row r="284" spans="1:18" ht="18.75" customHeight="1" thickBot="1" x14ac:dyDescent="0.25">
      <c r="A284" s="8"/>
      <c r="B284" s="8"/>
      <c r="C284" s="8"/>
      <c r="D284" s="8"/>
      <c r="E284" s="8"/>
      <c r="F284" s="8"/>
      <c r="G284" s="8"/>
      <c r="H284" s="8"/>
      <c r="I284" s="8"/>
      <c r="J284" s="235">
        <v>8500000</v>
      </c>
      <c r="K284" s="234">
        <f>A264-1950000</f>
        <v>-1950000</v>
      </c>
      <c r="L284" s="8"/>
      <c r="O284" s="8"/>
      <c r="R284" s="8"/>
    </row>
    <row r="285" spans="1:18" ht="18.75" customHeight="1" x14ac:dyDescent="0.2">
      <c r="J285" s="229" t="b">
        <f>IF(税率登録シート!$D$2&lt;=2016,14999999,IF(税率登録シート!$D$2=2017,11999999,IF(税率登録シート!$D$2=2018,"")))</f>
        <v>0</v>
      </c>
      <c r="K285" s="230" t="str">
        <f>IF(税率登録シート!$D$2&lt;=2017,A264*0.95-1700000,"")</f>
        <v/>
      </c>
    </row>
    <row r="286" spans="1:18" ht="18.75" customHeight="1" thickBot="1" x14ac:dyDescent="0.25">
      <c r="J286" s="231" t="b">
        <f>IF(税率登録シート!$D$2&lt;=2016,15000000,IF(税率登録シート!$D$2=2017,12000000,IF(税率登録シート!$D$2=2018,"")))</f>
        <v>0</v>
      </c>
      <c r="K286" s="232" t="b">
        <f>IF(税率登録シート!$D$2&lt;=2016,A264-2450000,IF(税率登録シート!$D$2=2017,A264-2300000,IF(税率登録シート!$D$2=2018,"")))</f>
        <v>0</v>
      </c>
    </row>
    <row r="287" spans="1:18" ht="14.25" customHeight="1" x14ac:dyDescent="0.15"/>
  </sheetData>
  <sheetProtection selectLockedCells="1" selectUnlockedCells="1"/>
  <mergeCells count="22">
    <mergeCell ref="M262:N262"/>
    <mergeCell ref="P262:Q262"/>
    <mergeCell ref="M184:N184"/>
    <mergeCell ref="P184:Q184"/>
    <mergeCell ref="M210:N210"/>
    <mergeCell ref="P210:Q210"/>
    <mergeCell ref="M236:N236"/>
    <mergeCell ref="P236:Q236"/>
    <mergeCell ref="M2:N2"/>
    <mergeCell ref="P2:Q2"/>
    <mergeCell ref="M28:N28"/>
    <mergeCell ref="P28:Q28"/>
    <mergeCell ref="M158:N158"/>
    <mergeCell ref="P158:Q158"/>
    <mergeCell ref="M106:N106"/>
    <mergeCell ref="P106:Q106"/>
    <mergeCell ref="M132:N132"/>
    <mergeCell ref="P132:Q132"/>
    <mergeCell ref="M54:N54"/>
    <mergeCell ref="P54:Q54"/>
    <mergeCell ref="M80:N80"/>
    <mergeCell ref="P80:Q80"/>
  </mergeCells>
  <phoneticPr fontId="2"/>
  <pageMargins left="0.98425196850393704" right="0.78740157480314965" top="1.0629921259842521" bottom="0.74803149606299213" header="0.6692913385826772" footer="0.55118110236220474"/>
  <pageSetup paperSize="9" scale="49" orientation="landscape" r:id="rId1"/>
  <headerFooter alignWithMargins="0">
    <oddHeader>&amp;C&amp;"HGP明朝E,ｴｸｽﾄﾗﾎﾞｰﾙﾄﾞ"&amp;18国民健康保険税試算表</oddHeader>
    <oddFooter>&amp;C&amp;"HG明朝E,ｴｸｽﾄﾗﾎﾞｰﾙﾄﾞ"&amp;14※今回算出した税額は、試算税額で正式な課税金額ではありません。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入力試算シート</vt:lpstr>
      <vt:lpstr>税率登録シート</vt:lpstr>
      <vt:lpstr>税額計算</vt:lpstr>
      <vt:lpstr>速算表</vt:lpstr>
      <vt:lpstr>速算表!Print_Area</vt:lpstr>
      <vt:lpstr>入力試算シート!Print_Area</vt:lpstr>
    </vt:vector>
  </TitlesOfParts>
  <Company>税務課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伊予市役所</dc:creator>
  <cp:lastModifiedBy>税務課</cp:lastModifiedBy>
  <cp:lastPrinted>2025-03-18T04:18:26Z</cp:lastPrinted>
  <dcterms:created xsi:type="dcterms:W3CDTF">2001-06-10T23:42:31Z</dcterms:created>
  <dcterms:modified xsi:type="dcterms:W3CDTF">2025-03-27T07:53:51Z</dcterms:modified>
</cp:coreProperties>
</file>